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ynchro\documents\"/>
    </mc:Choice>
  </mc:AlternateContent>
  <bookViews>
    <workbookView xWindow="0" yWindow="0" windowWidth="19200" windowHeight="7620" firstSheet="2" activeTab="6"/>
  </bookViews>
  <sheets>
    <sheet name="TVQ 9,975% TPS 5%" sheetId="1" r:id="rId1"/>
    <sheet name="TVH depuis 2016" sheetId="2" r:id="rId2"/>
    <sheet name="Billets d'avion" sheetId="3" r:id="rId3"/>
    <sheet name="Calculateur inversé" sheetId="4" r:id="rId4"/>
    <sheet name="Indemnité de kilométrage" sheetId="5" r:id="rId5"/>
    <sheet name="Vider projet à zéro" sheetId="6" r:id="rId6"/>
    <sheet name="Per diem" sheetId="7"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7" l="1"/>
  <c r="B108" i="5" l="1"/>
  <c r="B98" i="5"/>
  <c r="B76" i="5"/>
  <c r="B66" i="5"/>
  <c r="B55" i="5"/>
  <c r="B45" i="5"/>
  <c r="B24" i="5"/>
  <c r="B34" i="5"/>
  <c r="I25" i="7" l="1"/>
  <c r="I33" i="7"/>
  <c r="K33" i="7" s="1"/>
  <c r="L25" i="7"/>
  <c r="K25" i="7"/>
  <c r="L15" i="7"/>
  <c r="K15" i="7"/>
  <c r="J15" i="7" l="1"/>
  <c r="L33" i="7"/>
  <c r="J33" i="7" s="1"/>
  <c r="J25" i="7"/>
  <c r="D105" i="5"/>
  <c r="D95" i="5"/>
  <c r="D73" i="5"/>
  <c r="D63" i="5"/>
  <c r="D52" i="5"/>
  <c r="D42" i="5"/>
  <c r="D31" i="5"/>
  <c r="D21" i="5"/>
  <c r="E52" i="5" l="1"/>
  <c r="E42" i="5"/>
  <c r="E45" i="5" s="1"/>
  <c r="E21" i="5"/>
  <c r="F42" i="5" l="1"/>
  <c r="F45" i="5" s="1"/>
  <c r="E55" i="5"/>
  <c r="D55" i="5" s="1"/>
  <c r="E31" i="5"/>
  <c r="E34" i="5" s="1"/>
  <c r="F21" i="5"/>
  <c r="F24" i="5" s="1"/>
  <c r="E24" i="5"/>
  <c r="D24" i="5" s="1"/>
  <c r="G69" i="1"/>
  <c r="D69" i="1"/>
  <c r="D45" i="5" l="1"/>
  <c r="D34" i="5"/>
  <c r="E36" i="2" l="1"/>
  <c r="D36" i="2" s="1"/>
  <c r="E45" i="2"/>
  <c r="D45" i="2" s="1"/>
  <c r="H45" i="2"/>
  <c r="H48" i="2" s="1"/>
  <c r="E58" i="2"/>
  <c r="D58" i="2" s="1"/>
  <c r="E69" i="2"/>
  <c r="E72" i="2" s="1"/>
  <c r="H69" i="2"/>
  <c r="H72" i="2" s="1"/>
  <c r="E48" i="2" l="1"/>
  <c r="D48" i="2" s="1"/>
  <c r="E39" i="2"/>
  <c r="D39" i="2" s="1"/>
  <c r="D72" i="2"/>
  <c r="D69" i="2"/>
  <c r="E61" i="2"/>
  <c r="D61" i="2" s="1"/>
  <c r="F79" i="1"/>
  <c r="D79" i="1" s="1"/>
  <c r="B18" i="6" l="1"/>
  <c r="F18" i="6" s="1"/>
  <c r="F21" i="6" s="1"/>
  <c r="B118" i="5"/>
  <c r="D115" i="5"/>
  <c r="D118" i="5" s="1"/>
  <c r="E95" i="5"/>
  <c r="E98" i="5" s="1"/>
  <c r="B86" i="5"/>
  <c r="D83" i="5"/>
  <c r="D86" i="5" s="1"/>
  <c r="E73" i="5"/>
  <c r="C25" i="4"/>
  <c r="C28" i="4" s="1"/>
  <c r="D15" i="4"/>
  <c r="D18" i="4" s="1"/>
  <c r="C15" i="4"/>
  <c r="C18" i="4" s="1"/>
  <c r="F82" i="1"/>
  <c r="G79" i="1"/>
  <c r="H69" i="1"/>
  <c r="H72" i="1" s="1"/>
  <c r="D58" i="1"/>
  <c r="G58" i="1" s="1"/>
  <c r="G61" i="1" s="1"/>
  <c r="D61" i="1" s="1"/>
  <c r="E47" i="1"/>
  <c r="E50" i="1" s="1"/>
  <c r="E36" i="1"/>
  <c r="E39" i="1" s="1"/>
  <c r="D39" i="1" s="1"/>
  <c r="F26" i="1"/>
  <c r="F29" i="1" s="1"/>
  <c r="E26" i="1"/>
  <c r="E29" i="1" s="1"/>
  <c r="D29" i="1" s="1"/>
  <c r="D25" i="4" l="1"/>
  <c r="D28" i="4" s="1"/>
  <c r="D47" i="1"/>
  <c r="H47" i="1" s="1"/>
  <c r="H50" i="1" s="1"/>
  <c r="D36" i="1"/>
  <c r="E18" i="4"/>
  <c r="E63" i="5"/>
  <c r="E66" i="5" s="1"/>
  <c r="F63" i="5"/>
  <c r="F66" i="5" s="1"/>
  <c r="F95" i="5"/>
  <c r="F98" i="5" s="1"/>
  <c r="D50" i="1"/>
  <c r="E18" i="6"/>
  <c r="E21" i="6" s="1"/>
  <c r="D21" i="6" s="1"/>
  <c r="E76" i="5"/>
  <c r="D76" i="5" s="1"/>
  <c r="E105" i="5"/>
  <c r="E108" i="5" s="1"/>
  <c r="E15" i="4"/>
  <c r="G82" i="1"/>
  <c r="D82" i="1" s="1"/>
  <c r="D26" i="1"/>
  <c r="G72" i="1"/>
  <c r="D72" i="1" s="1"/>
  <c r="D98" i="5" l="1"/>
  <c r="D66" i="5"/>
  <c r="D18" i="6"/>
  <c r="D108" i="5"/>
</calcChain>
</file>

<file path=xl/sharedStrings.xml><?xml version="1.0" encoding="utf-8"?>
<sst xmlns="http://schemas.openxmlformats.org/spreadsheetml/2006/main" count="432" uniqueCount="154">
  <si>
    <t>Direction des finances</t>
  </si>
  <si>
    <t>Dernière mise à jour:</t>
  </si>
  <si>
    <t>Calculateur de taxes:</t>
  </si>
  <si>
    <t>TPS = 5 %</t>
  </si>
  <si>
    <t>Taux de taxes combinées : 1,14975</t>
  </si>
  <si>
    <t>TVQ = 9,975%</t>
  </si>
  <si>
    <t>Effet net (taxes - remboursement) : 6,93675%</t>
  </si>
  <si>
    <t>Achats incluant TPS et TVQ  (dépenses courantes au Québec)</t>
  </si>
  <si>
    <t xml:space="preserve">Acquisition de livres au Québec et acquisitions dans une autre province canadienne non assujetti à la TVH   (TPS applicable et TVQ non applicable) </t>
  </si>
  <si>
    <t xml:space="preserve">Achats avec TPS et autocotisation de la TVQ </t>
  </si>
  <si>
    <t xml:space="preserve">Achats avec autocotisation de la TPS seulement </t>
  </si>
  <si>
    <t xml:space="preserve">Autocotisation des deux taxes </t>
  </si>
  <si>
    <t>Achats avec TVQ et autocotisation de la TPS</t>
  </si>
  <si>
    <t>Procédure</t>
  </si>
  <si>
    <t>Case où il faut saisir le montant de la facture (incluant les taxes s'il y a lieu)</t>
  </si>
  <si>
    <r>
      <t>Achats incluant TPS et TVQ</t>
    </r>
    <r>
      <rPr>
        <b/>
        <sz val="10"/>
        <color indexed="36"/>
        <rFont val="Arial"/>
        <family val="2"/>
      </rPr>
      <t xml:space="preserve">  </t>
    </r>
    <r>
      <rPr>
        <i/>
        <sz val="10"/>
        <rFont val="Arial"/>
        <family val="2"/>
      </rPr>
      <t>(dépenses courantes au Québec)</t>
    </r>
  </si>
  <si>
    <t>Montant avec taxes</t>
  </si>
  <si>
    <t>Montant original</t>
  </si>
  <si>
    <t>TPS facturée</t>
  </si>
  <si>
    <t>TVQ facturée</t>
  </si>
  <si>
    <t>TPS autocotisée</t>
  </si>
  <si>
    <t>TVQ autocotisée</t>
  </si>
  <si>
    <t>n/a</t>
  </si>
  <si>
    <t>Dépense totale enregistrée (Montant net après ristournes de taxes)</t>
  </si>
  <si>
    <t>TPS récupérée (67%)</t>
  </si>
  <si>
    <t>TVQ récupérée (47%)</t>
  </si>
  <si>
    <r>
      <t>Acquisition de livres au Québec et acquisitions dans une autre province canadienne non assujetti à la TVH</t>
    </r>
    <r>
      <rPr>
        <b/>
        <sz val="10"/>
        <color indexed="36"/>
        <rFont val="Arial"/>
        <family val="2"/>
      </rPr>
      <t xml:space="preserve">   </t>
    </r>
    <r>
      <rPr>
        <i/>
        <sz val="10"/>
        <rFont val="Arial"/>
        <family val="2"/>
      </rPr>
      <t xml:space="preserve">(TPS applicable et TVQ non applicable) </t>
    </r>
  </si>
  <si>
    <r>
      <t xml:space="preserve">Achats avec TPS et </t>
    </r>
    <r>
      <rPr>
        <b/>
        <u/>
        <sz val="10"/>
        <color indexed="10"/>
        <rFont val="Arial"/>
        <family val="2"/>
      </rPr>
      <t>autocotisation de la TVQ</t>
    </r>
    <r>
      <rPr>
        <b/>
        <u/>
        <sz val="10"/>
        <color indexed="36"/>
        <rFont val="Arial"/>
        <family val="2"/>
      </rPr>
      <t xml:space="preserve"> </t>
    </r>
  </si>
  <si>
    <t>(Exemple: achat (portable, logiciel, …) fait dans une autre province canadienne)</t>
  </si>
  <si>
    <r>
      <t xml:space="preserve">Achats avec </t>
    </r>
    <r>
      <rPr>
        <b/>
        <u/>
        <sz val="10"/>
        <color indexed="10"/>
        <rFont val="Arial"/>
        <family val="2"/>
      </rPr>
      <t>autocotisation de la TPS seulement</t>
    </r>
    <r>
      <rPr>
        <b/>
        <u/>
        <sz val="10"/>
        <color indexed="36"/>
        <rFont val="Arial"/>
        <family val="2"/>
      </rPr>
      <t xml:space="preserve"> </t>
    </r>
  </si>
  <si>
    <t>(Exemple: importation de livres acquis à l'extérieur du Canada)</t>
  </si>
  <si>
    <t>("Importation" Exemple: service de traduction aux É/U)</t>
  </si>
  <si>
    <r>
      <t xml:space="preserve">Achats avec TVQ et </t>
    </r>
    <r>
      <rPr>
        <b/>
        <u/>
        <sz val="10"/>
        <color indexed="10"/>
        <rFont val="Arial"/>
        <family val="2"/>
      </rPr>
      <t xml:space="preserve">autocotisation de la TPS </t>
    </r>
    <r>
      <rPr>
        <b/>
        <u/>
        <sz val="10"/>
        <color indexed="36"/>
        <rFont val="Arial"/>
        <family val="2"/>
      </rPr>
      <t xml:space="preserve"> </t>
    </r>
  </si>
  <si>
    <t xml:space="preserve">Calculateur avec TVH </t>
  </si>
  <si>
    <r>
      <t>(À utiliser à partir du 1</t>
    </r>
    <r>
      <rPr>
        <b/>
        <vertAlign val="superscript"/>
        <sz val="11"/>
        <rFont val="Arial"/>
        <family val="2"/>
      </rPr>
      <t>er</t>
    </r>
    <r>
      <rPr>
        <b/>
        <sz val="11"/>
        <rFont val="Arial"/>
        <family val="2"/>
      </rPr>
      <t xml:space="preserve"> janvier 2016 "</t>
    </r>
    <r>
      <rPr>
        <b/>
        <sz val="11"/>
        <color indexed="49"/>
        <rFont val="Arial"/>
        <family val="2"/>
      </rPr>
      <t>TVQ = 9,975%</t>
    </r>
    <r>
      <rPr>
        <b/>
        <sz val="11"/>
        <rFont val="Arial"/>
        <family val="2"/>
      </rPr>
      <t>")</t>
    </r>
  </si>
  <si>
    <t>Dans plusieurs provinces canadiennes, les taxes fédérale et provinciales sont regroupées</t>
  </si>
  <si>
    <t>et prélevées ensemble sous la forme d'une seule taxe nommée taxe de vente harmonisée (TVH).</t>
  </si>
  <si>
    <t>Si des biens ou services sont acquis dans l'une de ces provinces, seule la TPS incluse</t>
  </si>
  <si>
    <t>dans la TVH peut être réclamée. Le solde des taxes payées (partie provinciale de la TVH) fait partie du coût de</t>
  </si>
  <si>
    <t>l'acquisition.</t>
  </si>
  <si>
    <t>Taux de la TVH pour les provinces participantes</t>
  </si>
  <si>
    <t>Provinces</t>
  </si>
  <si>
    <t>TPS incluse dans la TVH</t>
  </si>
  <si>
    <t>Nouveau-Brunswick</t>
  </si>
  <si>
    <t>Terre-Neuve et Labrador</t>
  </si>
  <si>
    <t>Ile du Prince-Édouard</t>
  </si>
  <si>
    <r>
      <t xml:space="preserve">Dépenses effectuées incluant la </t>
    </r>
    <r>
      <rPr>
        <b/>
        <u/>
        <sz val="10"/>
        <color indexed="10"/>
        <rFont val="Arial"/>
        <family val="2"/>
      </rPr>
      <t>TVH</t>
    </r>
    <r>
      <rPr>
        <b/>
        <u/>
        <sz val="10"/>
        <color indexed="17"/>
        <rFont val="Arial"/>
        <family val="2"/>
      </rPr>
      <t xml:space="preserve"> </t>
    </r>
    <r>
      <rPr>
        <i/>
        <sz val="10"/>
        <rFont val="Arial"/>
        <family val="2"/>
      </rPr>
      <t>(Ex: congrès, colloque,...)</t>
    </r>
  </si>
  <si>
    <t>Montant avec TVH</t>
  </si>
  <si>
    <r>
      <t xml:space="preserve">Dépenses effectuées incluant la </t>
    </r>
    <r>
      <rPr>
        <b/>
        <u/>
        <sz val="10"/>
        <color indexed="10"/>
        <rFont val="Arial"/>
        <family val="2"/>
      </rPr>
      <t>TVH</t>
    </r>
    <r>
      <rPr>
        <b/>
        <u/>
        <sz val="10"/>
        <color indexed="17"/>
        <rFont val="Arial"/>
        <family val="2"/>
      </rPr>
      <t xml:space="preserve"> </t>
    </r>
    <r>
      <rPr>
        <b/>
        <u/>
        <sz val="10"/>
        <rFont val="Arial"/>
        <family val="2"/>
      </rPr>
      <t xml:space="preserve">et </t>
    </r>
    <r>
      <rPr>
        <b/>
        <u/>
        <sz val="10"/>
        <color indexed="10"/>
        <rFont val="Arial"/>
        <family val="2"/>
      </rPr>
      <t>autocotisation de la TVQ</t>
    </r>
    <r>
      <rPr>
        <b/>
        <u/>
        <sz val="10"/>
        <color indexed="17"/>
        <rFont val="Arial"/>
        <family val="2"/>
      </rPr>
      <t xml:space="preserve"> </t>
    </r>
    <r>
      <rPr>
        <u/>
        <sz val="8"/>
        <rFont val="Arial"/>
        <family val="2"/>
      </rPr>
      <t>(9,975%)</t>
    </r>
  </si>
  <si>
    <t>Calculateur de taxes pour les billets d'avion</t>
  </si>
  <si>
    <t xml:space="preserve">Comment calculer les taxes sur une facture d'un billet d'avion </t>
  </si>
  <si>
    <t>dont les taxes ne sont pas détaillées ?</t>
  </si>
  <si>
    <t xml:space="preserve">NOTE : On ne peut pas utiliser le calculateur Excel afin d'extraire la TPS et la TVQ </t>
  </si>
  <si>
    <t>puisque le montant total du billet d'avion inclus plusieurs taxes : accise, carburant, etc.</t>
  </si>
  <si>
    <t>REMARQUE: S'il y a un détail des taxes sur la facture, vous devez utiliser ces montants</t>
  </si>
  <si>
    <t>XG</t>
  </si>
  <si>
    <t>Taxe sur les produits et services (TPS)</t>
  </si>
  <si>
    <t>XQ</t>
  </si>
  <si>
    <t>Taxe de vente du Québec (TVQ)</t>
  </si>
  <si>
    <t>RC</t>
  </si>
  <si>
    <t>Taxe de vente harmonisée (TVH)</t>
  </si>
  <si>
    <t>Code de taxes apparaissant quelquefois dans le calcul du tarif du billet d'avion</t>
  </si>
  <si>
    <t>toujours prendre le montant indiqué avant le code XG, XQ ou RC</t>
  </si>
  <si>
    <r>
      <rPr>
        <b/>
        <u/>
        <sz val="11"/>
        <rFont val="Arial"/>
        <family val="2"/>
      </rPr>
      <t>Situation #1</t>
    </r>
    <r>
      <rPr>
        <u/>
        <sz val="11"/>
        <rFont val="Arial"/>
        <family val="2"/>
      </rPr>
      <t xml:space="preserve"> :Le montant global des taxes (incluant tps, tvq, accise, carburant etc.) est indiqué sur la facture</t>
    </r>
  </si>
  <si>
    <t>**</t>
  </si>
  <si>
    <r>
      <t xml:space="preserve">Prenez le montant </t>
    </r>
    <r>
      <rPr>
        <b/>
        <sz val="10"/>
        <rFont val="Arial"/>
        <family val="2"/>
      </rPr>
      <t>"avant taxe globale"</t>
    </r>
    <r>
      <rPr>
        <sz val="10"/>
        <rFont val="Arial"/>
        <family val="2"/>
      </rPr>
      <t xml:space="preserve"> pour calculer la TPS et la TVQ applicable:</t>
    </r>
  </si>
  <si>
    <t>Règles d'affaires</t>
  </si>
  <si>
    <t>-</t>
  </si>
  <si>
    <t>Québec vers Canada : TPS et TVQ</t>
  </si>
  <si>
    <t>Québec vers États-Unis : TPS seulement</t>
  </si>
  <si>
    <t>Québec vers Étranger : Aucunes taxes</t>
  </si>
  <si>
    <t>États-Unis et Étranger vers le Québec : Aucunes taxes</t>
  </si>
  <si>
    <t>Canada vers le Québec: TPS seulement</t>
  </si>
  <si>
    <t>Exemple 1: Billet d’avion Québec vers États-Unis de 1000$ incluant des taxes de 300$.</t>
  </si>
  <si>
    <r>
      <t xml:space="preserve">Montant de taxe à saisir: (1000$ - 300$) = 700$ * 5% = </t>
    </r>
    <r>
      <rPr>
        <b/>
        <i/>
        <sz val="10"/>
        <rFont val="Arial"/>
        <family val="2"/>
      </rPr>
      <t>35$ de TPS seulement</t>
    </r>
  </si>
  <si>
    <t>Exemple 2: Billet d’avion Québec vers Manitoba de 1000$ incluant des taxes de 300$.</t>
  </si>
  <si>
    <r>
      <t xml:space="preserve">Montant des taxes à saisir: (1000$ - 300$) = 700$ * 5% = </t>
    </r>
    <r>
      <rPr>
        <b/>
        <i/>
        <sz val="10"/>
        <rFont val="Arial"/>
        <family val="2"/>
      </rPr>
      <t>35$ de TPS</t>
    </r>
  </si>
  <si>
    <r>
      <t xml:space="preserve">               700$ * 9,975% = </t>
    </r>
    <r>
      <rPr>
        <b/>
        <i/>
        <sz val="10"/>
        <rFont val="Arial"/>
        <family val="2"/>
      </rPr>
      <t>69,83$ de TVQ</t>
    </r>
  </si>
  <si>
    <r>
      <rPr>
        <b/>
        <u/>
        <sz val="11"/>
        <rFont val="Arial"/>
        <family val="2"/>
      </rPr>
      <t>Situation #2</t>
    </r>
    <r>
      <rPr>
        <u/>
        <sz val="11"/>
        <rFont val="Arial"/>
        <family val="2"/>
      </rPr>
      <t xml:space="preserve"> : Vous avez seulement le montant total du billet</t>
    </r>
  </si>
  <si>
    <t>(taxes incluses dans le total, mais non présentées distinctement)</t>
  </si>
  <si>
    <r>
      <t xml:space="preserve">Voyage: Québec-Canada: Utiliser </t>
    </r>
    <r>
      <rPr>
        <b/>
        <sz val="10"/>
        <rFont val="Arial"/>
        <family val="2"/>
      </rPr>
      <t>60% du montant total</t>
    </r>
    <r>
      <rPr>
        <sz val="10"/>
        <rFont val="Arial"/>
        <family val="2"/>
      </rPr>
      <t xml:space="preserve"> afin de déterminer le montant</t>
    </r>
  </si>
  <si>
    <t>avant taxes. Par la suite, calculer les taxes en suivant les règles d'affaires décrites plus haut.</t>
  </si>
  <si>
    <t>Exemple: Billet d'avion Québec vers Saskatchewan de 785$ taxes incluses.</t>
  </si>
  <si>
    <r>
      <t xml:space="preserve">Montant des taxes à saisir: (785*60%) = 471$ * 5% = </t>
    </r>
    <r>
      <rPr>
        <b/>
        <i/>
        <sz val="10"/>
        <rFont val="Arial"/>
        <family val="2"/>
      </rPr>
      <t>23,55$ de TPS</t>
    </r>
  </si>
  <si>
    <r>
      <t xml:space="preserve">                                         471$ * 9,975% = </t>
    </r>
    <r>
      <rPr>
        <b/>
        <i/>
        <sz val="10"/>
        <rFont val="Arial"/>
        <family val="2"/>
      </rPr>
      <t>46,98$ de TVQ</t>
    </r>
  </si>
  <si>
    <r>
      <t xml:space="preserve">Voyage: Québec-États-Unis: Utiliser </t>
    </r>
    <r>
      <rPr>
        <b/>
        <sz val="10"/>
        <rFont val="Arial"/>
        <family val="2"/>
      </rPr>
      <t>85% du montant total</t>
    </r>
    <r>
      <rPr>
        <sz val="10"/>
        <rFont val="Arial"/>
        <family val="2"/>
      </rPr>
      <t xml:space="preserve"> afin de déterminer le montant </t>
    </r>
  </si>
  <si>
    <t>Exemple: Billet d'avion Québec vers États-Unis de 785$ taxes incluses.</t>
  </si>
  <si>
    <r>
      <t xml:space="preserve">Montant de taxe à saisir: (785*85%) = 667,25$ * 5% = </t>
    </r>
    <r>
      <rPr>
        <b/>
        <i/>
        <sz val="10"/>
        <rFont val="Arial"/>
        <family val="2"/>
      </rPr>
      <t>33,36$ de TPS seulement</t>
    </r>
  </si>
  <si>
    <t xml:space="preserve">Vous pouvez uiliser l'onglet "Calculateur inversé" afin de déterminer les montants </t>
  </si>
  <si>
    <t>de taxes à saisir à partir du montant avant les taxes.</t>
  </si>
  <si>
    <t>Calculateur inversé</t>
  </si>
  <si>
    <t>(Calcul des taxes à partir du montant avant taxes)</t>
  </si>
  <si>
    <t>Case où il faut saisir le montant avant taxes</t>
  </si>
  <si>
    <t xml:space="preserve">Achats avec TPS et TVQ </t>
  </si>
  <si>
    <t>Montant avant taxes</t>
  </si>
  <si>
    <t>TPS</t>
  </si>
  <si>
    <t>TVQ (9,975%)</t>
  </si>
  <si>
    <t>Total (avec taxes)</t>
  </si>
  <si>
    <t>Achats avec TPS seulement</t>
  </si>
  <si>
    <t>Indemnité de kilométrage</t>
  </si>
  <si>
    <t>Puisqu'il faut inscrire les montants avant taxe dans Synchro, vous pouvez utiliser le</t>
  </si>
  <si>
    <t>calculateur suivant afin de déterminer les indemnités de kilométrage permises.</t>
  </si>
  <si>
    <t>Case où il faut saisir le nombre de kilomètres parcourus</t>
  </si>
  <si>
    <t>Déplacements au Québec</t>
  </si>
  <si>
    <t># kilomètres parcourus</t>
  </si>
  <si>
    <t>Frais de transport</t>
  </si>
  <si>
    <t>TVQ facturée (9,975%)</t>
  </si>
  <si>
    <t>Dépense totale</t>
  </si>
  <si>
    <t>Déplacements à l'extérieur du Québec, mais au Canada</t>
  </si>
  <si>
    <t>Déplacements à l'extérieur du Canada</t>
  </si>
  <si>
    <t>#kilomètre parcouru</t>
  </si>
  <si>
    <t>TVQ facturée (8,5%)</t>
  </si>
  <si>
    <t>Dépense totale enregistrée (Montant + Taxes non récupérées)</t>
  </si>
  <si>
    <t>Vider un projet à zéro !</t>
  </si>
  <si>
    <t>Entrer dans la case en jaune le solde disponible d'un projet afin d'obtenir les montants nécessaires à saisir afin d'utiliser la totalité du solde budgétaire disponible de ce projet.</t>
  </si>
  <si>
    <t>Solde disponible dans le projet</t>
  </si>
  <si>
    <t>Montant total avec taxes</t>
  </si>
  <si>
    <t>Montant original (avant taxes)</t>
  </si>
  <si>
    <t xml:space="preserve">Montants à saisir </t>
  </si>
  <si>
    <t>Champs de vérification</t>
  </si>
  <si>
    <t>Même montant</t>
  </si>
  <si>
    <t>(Exemple: fournisseurs de services numériques hors Canada (Netflix, Facebook,Google)</t>
  </si>
  <si>
    <r>
      <t xml:space="preserve">Calculateur à utiliser pour: </t>
    </r>
    <r>
      <rPr>
        <b/>
        <sz val="12"/>
        <rFont val="Arial"/>
        <family val="2"/>
      </rPr>
      <t xml:space="preserve">Ontario  </t>
    </r>
    <r>
      <rPr>
        <i/>
        <sz val="10"/>
        <rFont val="Arial"/>
        <family val="2"/>
      </rPr>
      <t>(TVH de 13%)</t>
    </r>
  </si>
  <si>
    <t>TVH</t>
  </si>
  <si>
    <t xml:space="preserve">Nouvelle-Écosse </t>
  </si>
  <si>
    <t xml:space="preserve">Ontario </t>
  </si>
  <si>
    <r>
      <t xml:space="preserve">Dépenses effectuées incluant la </t>
    </r>
    <r>
      <rPr>
        <b/>
        <u/>
        <sz val="10"/>
        <color indexed="10"/>
        <rFont val="Arial"/>
        <family val="2"/>
      </rPr>
      <t>TVH</t>
    </r>
    <r>
      <rPr>
        <b/>
        <u/>
        <sz val="10"/>
        <color indexed="17"/>
        <rFont val="Arial"/>
        <family val="2"/>
      </rPr>
      <t xml:space="preserve"> </t>
    </r>
    <r>
      <rPr>
        <i/>
        <sz val="10"/>
        <rFont val="Arial"/>
        <family val="2"/>
      </rPr>
      <t>(Ex: chambre hôtel )</t>
    </r>
  </si>
  <si>
    <r>
      <t xml:space="preserve">Calculateur à utiliser pour: </t>
    </r>
    <r>
      <rPr>
        <b/>
        <sz val="12"/>
        <rFont val="Arial"/>
        <family val="2"/>
      </rPr>
      <t xml:space="preserve">Nouvelle-Écosse, Terre-Neuve, Nouveau-Brunswick et Ile-du-Prince-Edouard </t>
    </r>
    <r>
      <rPr>
        <i/>
        <sz val="10"/>
        <rFont val="Arial"/>
        <family val="2"/>
      </rPr>
      <t>(TVH de 15%)</t>
    </r>
  </si>
  <si>
    <t>(Exemple: achat de biens ou services (portable, logiciel, …) fait en Ontario)</t>
  </si>
  <si>
    <t>(Exemple: achat de biens ou services (portable, logiciel, …) fait dans ces 4 provinces)</t>
  </si>
  <si>
    <t>AU 1ER MAI 2022</t>
  </si>
  <si>
    <t>Indemnité de kilométrage pour une personne voyageant seule  (0,52$ / km)</t>
  </si>
  <si>
    <t>Indemnité de kilométrage pour covoiturage  (0,64$ / km)</t>
  </si>
  <si>
    <t>* À partir du 1er mai 2023 l'indemnité de kilométrage est de 0,57$/km (personne seule) et de 0,70$/km pour covoiturage</t>
  </si>
  <si>
    <t>AU 1ER MAI 2023</t>
  </si>
  <si>
    <t>Indemnité de kilométrage pour une personne voyageant seule  (0,57$ / km)</t>
  </si>
  <si>
    <t>Indemnité de kilométrage pour covoiturage  (0,70$ / km)</t>
  </si>
  <si>
    <t>PER DIEM</t>
  </si>
  <si>
    <t>Québec</t>
  </si>
  <si>
    <t>Nombre de jours</t>
  </si>
  <si>
    <t>Canada hors Québec</t>
  </si>
  <si>
    <t>Étranger</t>
  </si>
  <si>
    <t>Déjeuner</t>
  </si>
  <si>
    <t>Dîner</t>
  </si>
  <si>
    <t>Souper</t>
  </si>
  <si>
    <t>Frais de logement</t>
  </si>
  <si>
    <t>Canadien</t>
  </si>
  <si>
    <t>Nombre de nuits</t>
  </si>
  <si>
    <t>Déplacement</t>
  </si>
  <si>
    <t>Seul</t>
  </si>
  <si>
    <t>Covoiturage</t>
  </si>
  <si>
    <t>Nombre de km</t>
  </si>
  <si>
    <t>Frais / km</t>
  </si>
  <si>
    <r>
      <t>Calculateur de taxes: À partir du 1</t>
    </r>
    <r>
      <rPr>
        <b/>
        <u/>
        <vertAlign val="superscript"/>
        <sz val="12"/>
        <rFont val="Arial"/>
        <family val="2"/>
      </rPr>
      <t>er</t>
    </r>
    <r>
      <rPr>
        <b/>
        <u/>
        <sz val="12"/>
        <rFont val="Arial"/>
        <family val="2"/>
      </rPr>
      <t xml:space="preserve"> mai 2023 seulement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</si>
</sst>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 #,##0.00_)\ &quot;$&quot;_ ;_ * \(#,##0.00\)\ &quot;$&quot;_ ;_ * &quot;-&quot;??_)\ &quot;$&quot;_ ;_ @_ "/>
    <numFmt numFmtId="164" formatCode="#,##0.0000000"/>
    <numFmt numFmtId="165" formatCode="#,##0.0000"/>
    <numFmt numFmtId="166" formatCode="#,##0.000000"/>
    <numFmt numFmtId="167" formatCode="[$-C0C]d\ mmm\ yyyy;@"/>
    <numFmt numFmtId="168" formatCode="yyyy/mm/dd;@"/>
    <numFmt numFmtId="169" formatCode="#,##0.00\ &quot;$&quot;"/>
  </numFmts>
  <fonts count="60" x14ac:knownFonts="1">
    <font>
      <sz val="11"/>
      <color theme="1"/>
      <name val="Calibri"/>
      <family val="2"/>
      <scheme val="minor"/>
    </font>
    <font>
      <sz val="11"/>
      <color theme="1"/>
      <name val="Calibri"/>
      <family val="2"/>
      <scheme val="minor"/>
    </font>
    <font>
      <b/>
      <sz val="12"/>
      <name val="Arial"/>
      <family val="2"/>
    </font>
    <font>
      <b/>
      <sz val="10"/>
      <name val="Arial"/>
      <family val="2"/>
    </font>
    <font>
      <b/>
      <u/>
      <sz val="12"/>
      <name val="Arial"/>
      <family val="2"/>
    </font>
    <font>
      <b/>
      <i/>
      <sz val="10"/>
      <color theme="3" tint="0.39997558519241921"/>
      <name val="Arial"/>
      <family val="2"/>
    </font>
    <font>
      <i/>
      <sz val="10"/>
      <name val="Arial"/>
      <family val="2"/>
    </font>
    <font>
      <sz val="7"/>
      <color rgb="FF4B4B4B"/>
      <name val="Verdana"/>
      <family val="2"/>
    </font>
    <font>
      <u/>
      <sz val="10"/>
      <color theme="10"/>
      <name val="Arial"/>
      <family val="2"/>
    </font>
    <font>
      <u/>
      <sz val="10"/>
      <name val="Arial"/>
      <family val="2"/>
    </font>
    <font>
      <sz val="10"/>
      <name val="Arial"/>
      <family val="2"/>
    </font>
    <font>
      <b/>
      <u/>
      <sz val="10"/>
      <color rgb="FF7030A0"/>
      <name val="Arial"/>
      <family val="2"/>
    </font>
    <font>
      <b/>
      <sz val="10"/>
      <color indexed="36"/>
      <name val="Arial"/>
      <family val="2"/>
    </font>
    <font>
      <b/>
      <sz val="9"/>
      <color theme="4"/>
      <name val="Arial"/>
      <family val="2"/>
    </font>
    <font>
      <b/>
      <sz val="12"/>
      <color theme="0" tint="-0.34998626667073579"/>
      <name val="Arial"/>
      <family val="2"/>
    </font>
    <font>
      <b/>
      <sz val="10"/>
      <color theme="0" tint="-0.34998626667073579"/>
      <name val="Arial"/>
      <family val="2"/>
    </font>
    <font>
      <sz val="10"/>
      <color theme="0" tint="-0.34998626667073579"/>
      <name val="Arial"/>
      <family val="2"/>
    </font>
    <font>
      <b/>
      <i/>
      <u/>
      <sz val="10"/>
      <color rgb="FF7030A0"/>
      <name val="Arial"/>
      <family val="2"/>
    </font>
    <font>
      <b/>
      <sz val="12"/>
      <color theme="1" tint="0.499984740745262"/>
      <name val="Arial"/>
      <family val="2"/>
    </font>
    <font>
      <sz val="10"/>
      <color theme="1" tint="0.499984740745262"/>
      <name val="Arial"/>
      <family val="2"/>
    </font>
    <font>
      <b/>
      <u/>
      <sz val="10"/>
      <color indexed="10"/>
      <name val="Arial"/>
      <family val="2"/>
    </font>
    <font>
      <b/>
      <u/>
      <sz val="10"/>
      <color indexed="36"/>
      <name val="Arial"/>
      <family val="2"/>
    </font>
    <font>
      <b/>
      <u/>
      <sz val="10"/>
      <color rgb="FFFF0000"/>
      <name val="Arial"/>
      <family val="2"/>
    </font>
    <font>
      <b/>
      <i/>
      <u/>
      <sz val="10"/>
      <color rgb="FFFF0000"/>
      <name val="Arial"/>
      <family val="2"/>
    </font>
    <font>
      <b/>
      <u/>
      <sz val="10"/>
      <name val="Arial"/>
      <family val="2"/>
    </font>
    <font>
      <sz val="10"/>
      <color rgb="FF000000"/>
      <name val="Arial"/>
      <family val="2"/>
    </font>
    <font>
      <i/>
      <sz val="10"/>
      <color rgb="FF000000"/>
      <name val="Arial"/>
      <family val="2"/>
    </font>
    <font>
      <sz val="12"/>
      <color rgb="FF000000"/>
      <name val="Arial"/>
      <family val="2"/>
    </font>
    <font>
      <b/>
      <sz val="11"/>
      <name val="Arial"/>
      <family val="2"/>
    </font>
    <font>
      <b/>
      <vertAlign val="superscript"/>
      <sz val="11"/>
      <name val="Arial"/>
      <family val="2"/>
    </font>
    <font>
      <b/>
      <sz val="11"/>
      <color indexed="49"/>
      <name val="Arial"/>
      <family val="2"/>
    </font>
    <font>
      <sz val="11"/>
      <name val="Arial"/>
      <family val="2"/>
    </font>
    <font>
      <sz val="12"/>
      <name val="Arial"/>
      <family val="2"/>
    </font>
    <font>
      <b/>
      <u/>
      <sz val="10"/>
      <color indexed="17"/>
      <name val="Arial"/>
      <family val="2"/>
    </font>
    <font>
      <u/>
      <sz val="8"/>
      <name val="Arial"/>
      <family val="2"/>
    </font>
    <font>
      <b/>
      <u/>
      <sz val="13"/>
      <name val="Arial"/>
      <family val="2"/>
    </font>
    <font>
      <sz val="12"/>
      <color theme="3"/>
      <name val="Arial"/>
      <family val="2"/>
    </font>
    <font>
      <sz val="10"/>
      <color theme="3"/>
      <name val="Arial"/>
      <family val="2"/>
    </font>
    <font>
      <b/>
      <sz val="10"/>
      <name val="Calibri"/>
      <family val="2"/>
    </font>
    <font>
      <sz val="10"/>
      <name val="Calibri"/>
      <family val="2"/>
    </font>
    <font>
      <b/>
      <i/>
      <sz val="10"/>
      <name val="Arial"/>
      <family val="2"/>
    </font>
    <font>
      <sz val="11"/>
      <name val="Calibri"/>
      <family val="2"/>
    </font>
    <font>
      <sz val="9"/>
      <name val="Verdana"/>
      <family val="2"/>
    </font>
    <font>
      <b/>
      <i/>
      <u/>
      <sz val="10"/>
      <name val="Arial"/>
      <family val="2"/>
    </font>
    <font>
      <u/>
      <sz val="11"/>
      <name val="Arial"/>
      <family val="2"/>
    </font>
    <font>
      <b/>
      <u/>
      <sz val="11"/>
      <name val="Arial"/>
      <family val="2"/>
    </font>
    <font>
      <sz val="11"/>
      <name val="Symbol"/>
      <family val="1"/>
      <charset val="2"/>
    </font>
    <font>
      <sz val="10"/>
      <name val="Symbol"/>
      <family val="1"/>
      <charset val="2"/>
    </font>
    <font>
      <i/>
      <u/>
      <sz val="10"/>
      <name val="Arial"/>
      <family val="2"/>
    </font>
    <font>
      <u/>
      <sz val="11"/>
      <name val="Calibri"/>
      <family val="2"/>
    </font>
    <font>
      <u/>
      <sz val="10"/>
      <name val="Calibri"/>
      <family val="2"/>
    </font>
    <font>
      <b/>
      <i/>
      <sz val="10"/>
      <color rgb="FF7030A0"/>
      <name val="Arial"/>
      <family val="2"/>
    </font>
    <font>
      <i/>
      <sz val="10"/>
      <color theme="0" tint="-0.499984740745262"/>
      <name val="Arial"/>
      <family val="2"/>
    </font>
    <font>
      <b/>
      <sz val="14"/>
      <name val="Arial"/>
      <family val="2"/>
    </font>
    <font>
      <i/>
      <sz val="12"/>
      <color theme="0" tint="-0.499984740745262"/>
      <name val="Arial"/>
      <family val="2"/>
    </font>
    <font>
      <b/>
      <i/>
      <sz val="10"/>
      <color theme="0" tint="-0.499984740745262"/>
      <name val="Arial"/>
      <family val="2"/>
    </font>
    <font>
      <b/>
      <sz val="11"/>
      <color theme="1"/>
      <name val="Calibri"/>
      <family val="2"/>
      <scheme val="minor"/>
    </font>
    <font>
      <b/>
      <sz val="11"/>
      <name val="Calibri"/>
      <family val="2"/>
      <scheme val="minor"/>
    </font>
    <font>
      <b/>
      <u/>
      <vertAlign val="superscript"/>
      <sz val="12"/>
      <name val="Arial"/>
      <family val="2"/>
    </font>
    <font>
      <b/>
      <sz val="9"/>
      <name val="Arial"/>
      <family val="2"/>
    </font>
  </fonts>
  <fills count="12">
    <fill>
      <patternFill patternType="none"/>
    </fill>
    <fill>
      <patternFill patternType="gray125"/>
    </fill>
    <fill>
      <patternFill patternType="solid">
        <fgColor rgb="FFEBF6F9"/>
        <bgColor indexed="64"/>
      </patternFill>
    </fill>
    <fill>
      <patternFill patternType="solid">
        <fgColor rgb="FFFFFF00"/>
        <bgColor indexed="64"/>
      </patternFill>
    </fill>
    <fill>
      <patternFill patternType="solid">
        <fgColor rgb="FFE8F5F8"/>
        <bgColor indexed="64"/>
      </patternFill>
    </fill>
    <fill>
      <patternFill patternType="lightUp">
        <fgColor theme="0" tint="-0.24994659260841701"/>
        <bgColor indexed="65"/>
      </patternFill>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C000"/>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double">
        <color indexed="64"/>
      </top>
      <bottom style="thin">
        <color indexed="64"/>
      </bottom>
      <diagonal/>
    </border>
    <border>
      <left style="medium">
        <color rgb="FFC3C3C3"/>
      </left>
      <right style="medium">
        <color rgb="FFC3C3C3"/>
      </right>
      <top style="medium">
        <color rgb="FFC3C3C3"/>
      </top>
      <bottom style="medium">
        <color rgb="FFC3C3C3"/>
      </bottom>
      <diagonal/>
    </border>
    <border>
      <left/>
      <right style="medium">
        <color rgb="FFC3C3C3"/>
      </right>
      <top style="medium">
        <color rgb="FFC3C3C3"/>
      </top>
      <bottom style="medium">
        <color rgb="FFC3C3C3"/>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s>
  <cellStyleXfs count="5">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0" fillId="0" borderId="0"/>
    <xf numFmtId="0" fontId="10" fillId="0" borderId="0"/>
  </cellStyleXfs>
  <cellXfs count="286">
    <xf numFmtId="0" fontId="0" fillId="0" borderId="0" xfId="0"/>
    <xf numFmtId="0" fontId="2" fillId="0" borderId="0" xfId="0" applyFont="1" applyAlignment="1" applyProtection="1">
      <alignment horizontal="center"/>
    </xf>
    <xf numFmtId="4" fontId="0" fillId="0" borderId="0" xfId="0" applyNumberFormat="1" applyProtection="1"/>
    <xf numFmtId="0" fontId="0" fillId="0" borderId="0" xfId="0" applyProtection="1"/>
    <xf numFmtId="4" fontId="3" fillId="0" borderId="0" xfId="0" applyNumberFormat="1" applyFont="1" applyAlignment="1" applyProtection="1">
      <alignment horizontal="right"/>
    </xf>
    <xf numFmtId="14" fontId="3" fillId="0" borderId="0" xfId="0" applyNumberFormat="1" applyFont="1" applyProtection="1"/>
    <xf numFmtId="0" fontId="4" fillId="0" borderId="0" xfId="0" applyFont="1" applyAlignment="1" applyProtection="1">
      <alignment horizontal="center"/>
    </xf>
    <xf numFmtId="4" fontId="0" fillId="0" borderId="0" xfId="0" applyNumberFormat="1" applyFill="1" applyBorder="1" applyProtection="1"/>
    <xf numFmtId="0" fontId="0" fillId="0" borderId="0" xfId="0" applyFill="1" applyBorder="1" applyProtection="1"/>
    <xf numFmtId="4" fontId="5" fillId="2" borderId="1" xfId="0" applyNumberFormat="1" applyFont="1" applyFill="1" applyBorder="1" applyAlignment="1" applyProtection="1">
      <alignment horizontal="left"/>
    </xf>
    <xf numFmtId="164" fontId="5" fillId="0" borderId="0" xfId="0" applyNumberFormat="1" applyFont="1" applyFill="1" applyBorder="1" applyAlignment="1" applyProtection="1">
      <alignment horizontal="left"/>
    </xf>
    <xf numFmtId="4" fontId="5" fillId="0" borderId="0" xfId="0" applyNumberFormat="1" applyFont="1" applyFill="1" applyBorder="1" applyAlignment="1" applyProtection="1">
      <alignment horizontal="left"/>
    </xf>
    <xf numFmtId="4" fontId="6" fillId="0" borderId="0" xfId="0" applyNumberFormat="1" applyFont="1" applyFill="1" applyBorder="1" applyAlignment="1" applyProtection="1">
      <alignment horizontal="left"/>
    </xf>
    <xf numFmtId="0" fontId="7" fillId="0" borderId="0" xfId="0" applyFont="1" applyFill="1" applyBorder="1" applyProtection="1"/>
    <xf numFmtId="4" fontId="8" fillId="0" borderId="0" xfId="2" applyNumberFormat="1" applyAlignment="1" applyProtection="1"/>
    <xf numFmtId="0" fontId="7" fillId="0" borderId="0" xfId="0" applyFont="1" applyProtection="1"/>
    <xf numFmtId="4" fontId="9" fillId="0" borderId="0" xfId="0" applyNumberFormat="1" applyFont="1" applyFill="1" applyBorder="1" applyAlignment="1" applyProtection="1">
      <alignment horizontal="left"/>
    </xf>
    <xf numFmtId="4" fontId="9" fillId="0" borderId="0" xfId="0" applyNumberFormat="1" applyFont="1" applyFill="1" applyBorder="1" applyAlignment="1" applyProtection="1">
      <alignment horizontal="center"/>
    </xf>
    <xf numFmtId="0" fontId="0" fillId="3" borderId="8" xfId="0" applyFill="1" applyBorder="1" applyProtection="1"/>
    <xf numFmtId="0" fontId="10" fillId="0" borderId="0" xfId="0" applyFont="1" applyProtection="1"/>
    <xf numFmtId="4" fontId="11" fillId="0" borderId="0" xfId="0" applyNumberFormat="1" applyFont="1" applyProtection="1"/>
    <xf numFmtId="4" fontId="3" fillId="0" borderId="9" xfId="0" applyNumberFormat="1" applyFont="1" applyFill="1" applyBorder="1" applyAlignment="1" applyProtection="1">
      <alignment horizontal="center" wrapText="1"/>
    </xf>
    <xf numFmtId="4" fontId="13" fillId="4" borderId="9" xfId="0" applyNumberFormat="1" applyFont="1" applyFill="1" applyBorder="1" applyAlignment="1" applyProtection="1">
      <alignment horizontal="center" wrapText="1"/>
    </xf>
    <xf numFmtId="4" fontId="13" fillId="4" borderId="10" xfId="0" applyNumberFormat="1" applyFont="1" applyFill="1" applyBorder="1" applyAlignment="1" applyProtection="1">
      <alignment horizontal="center" wrapText="1"/>
    </xf>
    <xf numFmtId="4" fontId="13" fillId="4" borderId="11" xfId="0" applyNumberFormat="1" applyFont="1" applyFill="1" applyBorder="1" applyAlignment="1" applyProtection="1">
      <alignment horizontal="center" wrapText="1"/>
    </xf>
    <xf numFmtId="4" fontId="0" fillId="3" borderId="12" xfId="0" applyNumberFormat="1" applyFill="1" applyBorder="1" applyAlignment="1" applyProtection="1">
      <alignment horizontal="center"/>
      <protection locked="0"/>
    </xf>
    <xf numFmtId="4" fontId="3" fillId="0" borderId="12" xfId="0" applyNumberFormat="1" applyFont="1" applyFill="1" applyBorder="1" applyAlignment="1" applyProtection="1">
      <alignment horizontal="center"/>
    </xf>
    <xf numFmtId="4" fontId="3" fillId="0" borderId="13" xfId="0" applyNumberFormat="1" applyFont="1" applyBorder="1" applyAlignment="1" applyProtection="1">
      <alignment horizontal="center"/>
    </xf>
    <xf numFmtId="4" fontId="10" fillId="0" borderId="13" xfId="0" applyNumberFormat="1" applyFont="1" applyFill="1" applyBorder="1" applyAlignment="1" applyProtection="1">
      <alignment horizontal="center"/>
    </xf>
    <xf numFmtId="4" fontId="10" fillId="0" borderId="14" xfId="0" applyNumberFormat="1" applyFont="1" applyFill="1" applyBorder="1" applyAlignment="1" applyProtection="1">
      <alignment horizontal="center"/>
    </xf>
    <xf numFmtId="10" fontId="0" fillId="0" borderId="0" xfId="0" applyNumberFormat="1" applyProtection="1"/>
    <xf numFmtId="165" fontId="0" fillId="0" borderId="0" xfId="0" applyNumberFormat="1" applyProtection="1"/>
    <xf numFmtId="0" fontId="14" fillId="0" borderId="0" xfId="0" applyFont="1" applyAlignment="1" applyProtection="1">
      <alignment horizontal="center"/>
    </xf>
    <xf numFmtId="4" fontId="15" fillId="0" borderId="9" xfId="0" applyNumberFormat="1" applyFont="1" applyBorder="1" applyAlignment="1">
      <alignment horizontal="center" wrapText="1"/>
    </xf>
    <xf numFmtId="165" fontId="15" fillId="0" borderId="15" xfId="0" applyNumberFormat="1" applyFont="1" applyBorder="1" applyAlignment="1" applyProtection="1">
      <alignment horizontal="center" wrapText="1"/>
    </xf>
    <xf numFmtId="165" fontId="15" fillId="0" borderId="10" xfId="0" applyNumberFormat="1" applyFont="1" applyBorder="1" applyAlignment="1" applyProtection="1">
      <alignment horizontal="center" wrapText="1"/>
    </xf>
    <xf numFmtId="165" fontId="15" fillId="5" borderId="10" xfId="0" applyNumberFormat="1" applyFont="1" applyFill="1" applyBorder="1" applyAlignment="1" applyProtection="1">
      <alignment horizontal="center" wrapText="1"/>
    </xf>
    <xf numFmtId="165" fontId="15" fillId="5" borderId="11" xfId="0" applyNumberFormat="1" applyFont="1" applyFill="1" applyBorder="1" applyAlignment="1" applyProtection="1">
      <alignment horizontal="center" wrapText="1"/>
    </xf>
    <xf numFmtId="0" fontId="16" fillId="0" borderId="0" xfId="0" applyFont="1" applyProtection="1"/>
    <xf numFmtId="4" fontId="16" fillId="0" borderId="16" xfId="0" applyNumberFormat="1" applyFont="1" applyBorder="1" applyAlignment="1" applyProtection="1">
      <alignment horizontal="center"/>
    </xf>
    <xf numFmtId="4" fontId="16" fillId="0" borderId="1" xfId="0" applyNumberFormat="1" applyFont="1" applyBorder="1" applyAlignment="1" applyProtection="1">
      <alignment horizontal="center"/>
    </xf>
    <xf numFmtId="4" fontId="16" fillId="0" borderId="13" xfId="0" applyNumberFormat="1" applyFont="1" applyBorder="1" applyAlignment="1" applyProtection="1">
      <alignment horizontal="center"/>
    </xf>
    <xf numFmtId="4" fontId="16" fillId="5" borderId="13" xfId="0" applyNumberFormat="1" applyFont="1" applyFill="1" applyBorder="1" applyAlignment="1" applyProtection="1">
      <alignment horizontal="center"/>
    </xf>
    <xf numFmtId="4" fontId="16" fillId="5" borderId="17" xfId="0" applyNumberFormat="1" applyFont="1" applyFill="1" applyBorder="1" applyAlignment="1" applyProtection="1">
      <alignment horizontal="center"/>
    </xf>
    <xf numFmtId="4" fontId="16" fillId="0" borderId="0" xfId="0" applyNumberFormat="1" applyFont="1" applyProtection="1"/>
    <xf numFmtId="164" fontId="0" fillId="0" borderId="0" xfId="0" applyNumberFormat="1" applyProtection="1"/>
    <xf numFmtId="4" fontId="17" fillId="0" borderId="0" xfId="0" applyNumberFormat="1" applyFont="1" applyAlignment="1" applyProtection="1">
      <alignment horizontal="left"/>
    </xf>
    <xf numFmtId="4" fontId="3" fillId="0" borderId="8" xfId="0" applyNumberFormat="1" applyFont="1" applyFill="1" applyBorder="1" applyAlignment="1" applyProtection="1">
      <alignment horizontal="center"/>
    </xf>
    <xf numFmtId="4" fontId="10" fillId="0" borderId="13" xfId="0" applyNumberFormat="1" applyFont="1" applyBorder="1" applyAlignment="1" applyProtection="1">
      <alignment horizontal="center"/>
    </xf>
    <xf numFmtId="4" fontId="10" fillId="0" borderId="17" xfId="0" applyNumberFormat="1" applyFont="1" applyBorder="1" applyAlignment="1" applyProtection="1">
      <alignment horizontal="center"/>
    </xf>
    <xf numFmtId="4" fontId="16" fillId="0" borderId="8" xfId="0" applyNumberFormat="1" applyFont="1" applyBorder="1" applyAlignment="1" applyProtection="1">
      <alignment horizontal="center"/>
    </xf>
    <xf numFmtId="0" fontId="18" fillId="0" borderId="0" xfId="0" applyFont="1" applyAlignment="1" applyProtection="1">
      <alignment horizontal="center"/>
    </xf>
    <xf numFmtId="4" fontId="19" fillId="0" borderId="0" xfId="0" applyNumberFormat="1" applyFont="1" applyProtection="1"/>
    <xf numFmtId="4" fontId="19" fillId="0" borderId="0" xfId="0" applyNumberFormat="1" applyFont="1" applyBorder="1" applyAlignment="1" applyProtection="1">
      <alignment horizontal="center"/>
    </xf>
    <xf numFmtId="0" fontId="19" fillId="0" borderId="0" xfId="0" applyFont="1" applyProtection="1"/>
    <xf numFmtId="4" fontId="6" fillId="0" borderId="0" xfId="0" applyNumberFormat="1" applyFont="1" applyProtection="1"/>
    <xf numFmtId="4" fontId="17" fillId="0" borderId="0" xfId="0" applyNumberFormat="1" applyFont="1" applyProtection="1"/>
    <xf numFmtId="4" fontId="3" fillId="0" borderId="14" xfId="0" applyNumberFormat="1" applyFont="1" applyBorder="1" applyAlignment="1" applyProtection="1">
      <alignment horizontal="center"/>
    </xf>
    <xf numFmtId="165" fontId="15" fillId="0" borderId="11" xfId="0" applyNumberFormat="1" applyFont="1" applyBorder="1" applyAlignment="1" applyProtection="1">
      <alignment horizontal="center" wrapText="1"/>
    </xf>
    <xf numFmtId="4" fontId="16" fillId="0" borderId="17" xfId="0" applyNumberFormat="1" applyFont="1" applyFill="1" applyBorder="1" applyAlignment="1" applyProtection="1">
      <alignment horizontal="center"/>
    </xf>
    <xf numFmtId="4" fontId="10" fillId="0" borderId="14" xfId="0" applyNumberFormat="1" applyFont="1" applyBorder="1" applyAlignment="1" applyProtection="1">
      <alignment horizontal="center"/>
    </xf>
    <xf numFmtId="4" fontId="16" fillId="0" borderId="6" xfId="0" applyNumberFormat="1" applyFont="1" applyFill="1" applyBorder="1" applyAlignment="1" applyProtection="1">
      <alignment horizontal="center"/>
    </xf>
    <xf numFmtId="166" fontId="0" fillId="0" borderId="0" xfId="0" applyNumberFormat="1" applyProtection="1"/>
    <xf numFmtId="4" fontId="22" fillId="0" borderId="0" xfId="0" applyNumberFormat="1" applyFont="1" applyProtection="1"/>
    <xf numFmtId="4" fontId="23" fillId="0" borderId="0" xfId="0" applyNumberFormat="1" applyFont="1" applyProtection="1"/>
    <xf numFmtId="4" fontId="10" fillId="0" borderId="0" xfId="0" applyNumberFormat="1" applyFont="1" applyProtection="1"/>
    <xf numFmtId="0" fontId="24" fillId="0" borderId="0" xfId="0" applyFont="1" applyAlignment="1" applyProtection="1">
      <alignment horizontal="center"/>
    </xf>
    <xf numFmtId="0" fontId="25" fillId="0" borderId="0" xfId="0" applyFont="1"/>
    <xf numFmtId="0" fontId="26" fillId="0" borderId="0" xfId="0" applyFont="1"/>
    <xf numFmtId="0" fontId="27" fillId="0" borderId="0" xfId="0" applyFont="1"/>
    <xf numFmtId="0" fontId="3" fillId="0" borderId="0" xfId="0" applyFont="1" applyAlignment="1" applyProtection="1">
      <alignment horizontal="right"/>
    </xf>
    <xf numFmtId="0" fontId="6" fillId="0" borderId="0" xfId="0" applyFont="1" applyAlignment="1" applyProtection="1">
      <alignment horizontal="center"/>
    </xf>
    <xf numFmtId="0" fontId="3" fillId="0" borderId="11" xfId="0" applyFont="1" applyBorder="1" applyAlignment="1" applyProtection="1">
      <alignment horizontal="center" wrapText="1"/>
    </xf>
    <xf numFmtId="0" fontId="0" fillId="6" borderId="0" xfId="0" applyFill="1" applyProtection="1"/>
    <xf numFmtId="9" fontId="0" fillId="0" borderId="25" xfId="0" applyNumberFormat="1" applyBorder="1" applyAlignment="1" applyProtection="1">
      <alignment horizontal="center"/>
    </xf>
    <xf numFmtId="0" fontId="3" fillId="7" borderId="24" xfId="0" applyFont="1" applyFill="1" applyBorder="1" applyAlignment="1" applyProtection="1">
      <alignment horizontal="left"/>
    </xf>
    <xf numFmtId="0" fontId="3" fillId="7" borderId="25" xfId="0" applyFont="1" applyFill="1" applyBorder="1" applyAlignment="1" applyProtection="1">
      <alignment horizontal="left"/>
    </xf>
    <xf numFmtId="9" fontId="0" fillId="0" borderId="7" xfId="0" applyNumberFormat="1" applyBorder="1" applyAlignment="1" applyProtection="1">
      <alignment horizontal="center"/>
    </xf>
    <xf numFmtId="0" fontId="3" fillId="0" borderId="0" xfId="0" applyFont="1" applyProtection="1"/>
    <xf numFmtId="0" fontId="0" fillId="0" borderId="0" xfId="0" applyAlignment="1" applyProtection="1">
      <alignment horizontal="center"/>
    </xf>
    <xf numFmtId="0" fontId="32" fillId="0" borderId="0" xfId="0" applyFont="1" applyBorder="1" applyAlignment="1" applyProtection="1">
      <alignment horizontal="center"/>
    </xf>
    <xf numFmtId="0" fontId="11" fillId="0" borderId="0" xfId="0" applyFont="1" applyProtection="1"/>
    <xf numFmtId="4" fontId="10" fillId="0" borderId="27" xfId="0" applyNumberFormat="1" applyFont="1" applyBorder="1" applyAlignment="1" applyProtection="1">
      <alignment horizontal="center"/>
    </xf>
    <xf numFmtId="0" fontId="6" fillId="0" borderId="0" xfId="0" applyFont="1" applyProtection="1"/>
    <xf numFmtId="4" fontId="3" fillId="0" borderId="17" xfId="0" applyNumberFormat="1" applyFont="1" applyBorder="1" applyAlignment="1" applyProtection="1">
      <alignment horizontal="center"/>
    </xf>
    <xf numFmtId="4" fontId="16" fillId="0" borderId="17" xfId="0" applyNumberFormat="1" applyFont="1" applyBorder="1" applyAlignment="1" applyProtection="1">
      <alignment horizontal="center"/>
    </xf>
    <xf numFmtId="4" fontId="16" fillId="0" borderId="0" xfId="0" applyNumberFormat="1" applyFont="1" applyBorder="1" applyAlignment="1" applyProtection="1">
      <alignment horizontal="center"/>
    </xf>
    <xf numFmtId="4" fontId="16" fillId="5" borderId="0" xfId="0" applyNumberFormat="1" applyFont="1" applyFill="1" applyBorder="1" applyAlignment="1" applyProtection="1">
      <alignment horizontal="center"/>
    </xf>
    <xf numFmtId="0" fontId="3" fillId="0" borderId="0" xfId="0" applyFont="1"/>
    <xf numFmtId="0" fontId="2" fillId="0" borderId="0" xfId="0" applyFont="1" applyAlignment="1">
      <alignment horizontal="center"/>
    </xf>
    <xf numFmtId="4" fontId="0" fillId="0" borderId="0" xfId="0" applyNumberFormat="1"/>
    <xf numFmtId="4" fontId="3" fillId="0" borderId="0" xfId="0" applyNumberFormat="1" applyFont="1" applyAlignment="1">
      <alignment horizontal="right"/>
    </xf>
    <xf numFmtId="167" fontId="3" fillId="0" borderId="0" xfId="0" applyNumberFormat="1" applyFont="1"/>
    <xf numFmtId="0" fontId="0" fillId="0" borderId="0" xfId="0" applyFill="1" applyBorder="1"/>
    <xf numFmtId="0" fontId="36" fillId="0" borderId="0" xfId="0" applyFont="1"/>
    <xf numFmtId="0" fontId="37" fillId="0" borderId="0" xfId="0" applyFont="1"/>
    <xf numFmtId="0" fontId="38" fillId="0" borderId="0" xfId="0" applyFont="1" applyFill="1" applyBorder="1" applyAlignment="1">
      <alignment horizontal="justify" vertical="top" wrapText="1"/>
    </xf>
    <xf numFmtId="0" fontId="39" fillId="0" borderId="0" xfId="0" applyFont="1" applyFill="1" applyBorder="1" applyAlignment="1">
      <alignment vertical="top" wrapText="1"/>
    </xf>
    <xf numFmtId="0" fontId="40" fillId="0" borderId="0" xfId="0" applyFont="1"/>
    <xf numFmtId="0" fontId="41" fillId="0" borderId="0" xfId="0" applyFont="1" applyFill="1" applyBorder="1" applyAlignment="1">
      <alignment vertical="top" wrapText="1"/>
    </xf>
    <xf numFmtId="0" fontId="38" fillId="0" borderId="0" xfId="0" applyFont="1" applyFill="1" applyBorder="1" applyAlignment="1">
      <alignment vertical="top" wrapText="1"/>
    </xf>
    <xf numFmtId="0" fontId="42" fillId="0" borderId="28" xfId="0" applyFont="1" applyBorder="1" applyAlignment="1">
      <alignment vertical="center" wrapText="1"/>
    </xf>
    <xf numFmtId="0" fontId="42" fillId="0" borderId="29" xfId="0" applyFont="1" applyBorder="1" applyAlignment="1">
      <alignment vertical="center" wrapText="1"/>
    </xf>
    <xf numFmtId="0" fontId="10" fillId="0" borderId="0" xfId="0" applyFont="1"/>
    <xf numFmtId="0" fontId="43" fillId="0" borderId="0" xfId="0" applyFont="1"/>
    <xf numFmtId="0" fontId="9" fillId="0" borderId="0" xfId="0" applyFont="1"/>
    <xf numFmtId="0" fontId="28" fillId="0" borderId="0" xfId="0" applyFont="1"/>
    <xf numFmtId="0" fontId="31" fillId="0" borderId="0" xfId="0" applyFont="1"/>
    <xf numFmtId="0" fontId="46" fillId="0" borderId="0" xfId="0" applyFont="1" applyFill="1" applyBorder="1" applyAlignment="1">
      <alignment horizontal="justify" vertical="top" wrapText="1"/>
    </xf>
    <xf numFmtId="0" fontId="44" fillId="0" borderId="24" xfId="0" applyFont="1" applyBorder="1" applyAlignment="1">
      <alignment horizontal="center" wrapText="1"/>
    </xf>
    <xf numFmtId="0" fontId="44" fillId="0" borderId="0" xfId="0" applyFont="1" applyBorder="1" applyAlignment="1">
      <alignment horizontal="center" wrapText="1"/>
    </xf>
    <xf numFmtId="0" fontId="44" fillId="0" borderId="25" xfId="0" applyFont="1" applyBorder="1" applyAlignment="1">
      <alignment horizontal="center" wrapText="1"/>
    </xf>
    <xf numFmtId="0" fontId="0" fillId="0" borderId="24" xfId="0" applyBorder="1"/>
    <xf numFmtId="0" fontId="0" fillId="0" borderId="25" xfId="0" applyBorder="1"/>
    <xf numFmtId="0" fontId="47" fillId="0" borderId="0" xfId="0" applyFont="1" applyFill="1" applyBorder="1" applyAlignment="1">
      <alignment horizontal="justify" vertical="top" wrapText="1"/>
    </xf>
    <xf numFmtId="0" fontId="3" fillId="8" borderId="0" xfId="0" applyFont="1" applyFill="1"/>
    <xf numFmtId="0" fontId="10" fillId="0" borderId="24" xfId="0" applyFont="1" applyBorder="1"/>
    <xf numFmtId="0" fontId="48" fillId="0" borderId="24" xfId="0" applyFont="1" applyBorder="1"/>
    <xf numFmtId="0" fontId="6" fillId="0" borderId="0" xfId="0" applyFont="1"/>
    <xf numFmtId="0" fontId="3" fillId="0" borderId="0" xfId="0" applyFont="1" applyAlignment="1">
      <alignment horizontal="right"/>
    </xf>
    <xf numFmtId="0" fontId="6" fillId="0" borderId="24" xfId="0" applyFont="1" applyBorder="1"/>
    <xf numFmtId="0" fontId="49" fillId="0" borderId="0" xfId="0" applyFont="1" applyFill="1" applyBorder="1" applyAlignment="1">
      <alignment vertical="top" wrapText="1"/>
    </xf>
    <xf numFmtId="0" fontId="50" fillId="0" borderId="0" xfId="0" applyFont="1" applyFill="1" applyBorder="1" applyAlignment="1">
      <alignment vertical="top" wrapText="1"/>
    </xf>
    <xf numFmtId="0" fontId="0" fillId="0" borderId="0" xfId="0" applyBorder="1"/>
    <xf numFmtId="0" fontId="9" fillId="0" borderId="24" xfId="0" applyFont="1" applyBorder="1"/>
    <xf numFmtId="0" fontId="47" fillId="0" borderId="0" xfId="0" applyFont="1" applyFill="1" applyBorder="1" applyAlignment="1">
      <alignment horizontal="left" vertical="top" wrapText="1" indent="2"/>
    </xf>
    <xf numFmtId="0" fontId="3" fillId="0" borderId="0" xfId="0" applyFont="1" applyBorder="1"/>
    <xf numFmtId="0" fontId="6" fillId="0" borderId="0" xfId="0" applyFont="1" applyBorder="1"/>
    <xf numFmtId="0" fontId="51" fillId="0" borderId="0" xfId="0" applyFont="1"/>
    <xf numFmtId="0" fontId="52" fillId="0" borderId="0" xfId="0" applyFont="1"/>
    <xf numFmtId="4" fontId="3" fillId="0" borderId="0" xfId="0" applyNumberFormat="1" applyFont="1" applyAlignment="1">
      <alignment horizontal="left"/>
    </xf>
    <xf numFmtId="4" fontId="9" fillId="0" borderId="0" xfId="0" applyNumberFormat="1" applyFont="1" applyFill="1" applyBorder="1" applyAlignment="1">
      <alignment horizontal="left"/>
    </xf>
    <xf numFmtId="4" fontId="9" fillId="0" borderId="0" xfId="0" applyNumberFormat="1" applyFont="1" applyFill="1" applyBorder="1" applyAlignment="1">
      <alignment horizontal="center"/>
    </xf>
    <xf numFmtId="0" fontId="0" fillId="3" borderId="8" xfId="0" applyFill="1" applyBorder="1"/>
    <xf numFmtId="4" fontId="11" fillId="0" borderId="0" xfId="0" applyNumberFormat="1" applyFont="1"/>
    <xf numFmtId="4" fontId="3" fillId="0" borderId="2" xfId="0" applyNumberFormat="1" applyFont="1" applyBorder="1" applyAlignment="1">
      <alignment horizontal="center" wrapText="1"/>
    </xf>
    <xf numFmtId="4" fontId="3" fillId="0" borderId="15" xfId="0" applyNumberFormat="1" applyFont="1" applyBorder="1" applyAlignment="1">
      <alignment horizontal="center"/>
    </xf>
    <xf numFmtId="4" fontId="3" fillId="0" borderId="11" xfId="0" applyNumberFormat="1" applyFont="1" applyBorder="1" applyAlignment="1">
      <alignment horizontal="center" wrapText="1"/>
    </xf>
    <xf numFmtId="4" fontId="3" fillId="0" borderId="9" xfId="0" applyNumberFormat="1" applyFont="1" applyBorder="1" applyAlignment="1">
      <alignment horizontal="center" wrapText="1"/>
    </xf>
    <xf numFmtId="4" fontId="3" fillId="3" borderId="1" xfId="0" applyNumberFormat="1" applyFont="1" applyFill="1" applyBorder="1" applyAlignment="1" applyProtection="1">
      <alignment horizontal="center"/>
      <protection locked="0"/>
    </xf>
    <xf numFmtId="4" fontId="3" fillId="0" borderId="1" xfId="0" applyNumberFormat="1" applyFont="1" applyBorder="1" applyAlignment="1">
      <alignment horizontal="center"/>
    </xf>
    <xf numFmtId="4" fontId="3" fillId="0" borderId="17" xfId="0" applyNumberFormat="1" applyFont="1" applyBorder="1" applyAlignment="1">
      <alignment horizontal="center"/>
    </xf>
    <xf numFmtId="4" fontId="0" fillId="0" borderId="12" xfId="0" applyNumberFormat="1" applyBorder="1" applyAlignment="1">
      <alignment horizontal="center"/>
    </xf>
    <xf numFmtId="165" fontId="0" fillId="0" borderId="0" xfId="0" applyNumberFormat="1"/>
    <xf numFmtId="4" fontId="16" fillId="0" borderId="0" xfId="0" applyNumberFormat="1" applyFont="1"/>
    <xf numFmtId="165" fontId="15" fillId="0" borderId="15" xfId="0" applyNumberFormat="1" applyFont="1" applyBorder="1" applyAlignment="1">
      <alignment horizontal="center" wrapText="1"/>
    </xf>
    <xf numFmtId="165" fontId="15" fillId="0" borderId="9" xfId="0" applyNumberFormat="1" applyFont="1" applyBorder="1" applyAlignment="1">
      <alignment horizontal="center" wrapText="1"/>
    </xf>
    <xf numFmtId="4" fontId="15" fillId="0" borderId="11" xfId="0" applyNumberFormat="1" applyFont="1" applyBorder="1" applyAlignment="1">
      <alignment horizontal="center" wrapText="1"/>
    </xf>
    <xf numFmtId="4" fontId="0" fillId="0" borderId="0" xfId="0" applyNumberFormat="1" applyFill="1" applyBorder="1"/>
    <xf numFmtId="4" fontId="16" fillId="0" borderId="1" xfId="0" applyNumberFormat="1" applyFont="1" applyBorder="1" applyAlignment="1">
      <alignment horizontal="center"/>
    </xf>
    <xf numFmtId="4" fontId="16" fillId="0" borderId="7" xfId="0" applyNumberFormat="1" applyFont="1" applyBorder="1" applyAlignment="1">
      <alignment horizontal="center"/>
    </xf>
    <xf numFmtId="4" fontId="16" fillId="0" borderId="17" xfId="0" applyNumberFormat="1" applyFont="1" applyBorder="1" applyAlignment="1">
      <alignment horizontal="center"/>
    </xf>
    <xf numFmtId="0" fontId="10" fillId="0" borderId="0" xfId="0" applyFont="1" applyFill="1" applyBorder="1"/>
    <xf numFmtId="4" fontId="3" fillId="0" borderId="9" xfId="0" applyNumberFormat="1" applyFont="1" applyBorder="1" applyAlignment="1">
      <alignment horizontal="center"/>
    </xf>
    <xf numFmtId="4" fontId="3" fillId="3" borderId="8" xfId="0" applyNumberFormat="1" applyFont="1" applyFill="1" applyBorder="1" applyAlignment="1" applyProtection="1">
      <alignment horizontal="center"/>
      <protection locked="0"/>
    </xf>
    <xf numFmtId="4" fontId="3" fillId="0" borderId="13" xfId="0" applyNumberFormat="1" applyFont="1" applyBorder="1" applyAlignment="1">
      <alignment horizontal="center"/>
    </xf>
    <xf numFmtId="14" fontId="3" fillId="0" borderId="0" xfId="0" applyNumberFormat="1" applyFont="1"/>
    <xf numFmtId="14" fontId="0" fillId="0" borderId="0" xfId="0" applyNumberFormat="1"/>
    <xf numFmtId="0" fontId="24" fillId="0" borderId="0" xfId="0" applyFont="1" applyProtection="1"/>
    <xf numFmtId="3" fontId="0" fillId="3" borderId="12" xfId="0" applyNumberFormat="1" applyFill="1" applyBorder="1" applyAlignment="1" applyProtection="1">
      <alignment horizontal="center"/>
      <protection locked="0"/>
    </xf>
    <xf numFmtId="0" fontId="15" fillId="0" borderId="9" xfId="0" applyFont="1" applyBorder="1" applyAlignment="1" applyProtection="1">
      <alignment horizontal="center" wrapText="1"/>
    </xf>
    <xf numFmtId="44" fontId="15" fillId="0" borderId="12" xfId="1" applyFont="1" applyBorder="1" applyAlignment="1" applyProtection="1">
      <alignment horizontal="center"/>
    </xf>
    <xf numFmtId="4" fontId="15" fillId="0" borderId="9" xfId="0" applyNumberFormat="1" applyFont="1" applyBorder="1" applyAlignment="1" applyProtection="1">
      <alignment horizontal="center" wrapText="1"/>
    </xf>
    <xf numFmtId="4" fontId="3" fillId="0" borderId="0" xfId="0" applyNumberFormat="1" applyFont="1" applyAlignment="1">
      <alignment horizontal="center"/>
    </xf>
    <xf numFmtId="0" fontId="0" fillId="0" borderId="0" xfId="0" applyFill="1"/>
    <xf numFmtId="0" fontId="10" fillId="0" borderId="0" xfId="0" applyFont="1" applyAlignment="1" applyProtection="1">
      <alignment horizontal="center" wrapText="1"/>
    </xf>
    <xf numFmtId="4" fontId="3" fillId="3" borderId="12" xfId="0" applyNumberFormat="1" applyFont="1" applyFill="1" applyBorder="1" applyAlignment="1" applyProtection="1">
      <alignment horizontal="center"/>
      <protection locked="0"/>
    </xf>
    <xf numFmtId="4" fontId="0" fillId="6" borderId="0" xfId="0" applyNumberFormat="1" applyFill="1" applyBorder="1" applyAlignment="1" applyProtection="1">
      <alignment horizontal="center"/>
      <protection locked="0"/>
    </xf>
    <xf numFmtId="4" fontId="3" fillId="0" borderId="0" xfId="0" applyNumberFormat="1" applyFont="1" applyFill="1" applyBorder="1" applyAlignment="1" applyProtection="1">
      <alignment horizontal="center"/>
    </xf>
    <xf numFmtId="4" fontId="13" fillId="4" borderId="10" xfId="0" applyNumberFormat="1" applyFont="1" applyFill="1" applyBorder="1" applyAlignment="1" applyProtection="1">
      <alignment horizontal="center" vertical="center" wrapText="1"/>
    </xf>
    <xf numFmtId="4" fontId="13" fillId="0" borderId="0" xfId="0" applyNumberFormat="1" applyFont="1" applyFill="1" applyBorder="1" applyAlignment="1" applyProtection="1">
      <alignment horizontal="center" wrapText="1"/>
    </xf>
    <xf numFmtId="4" fontId="0" fillId="6" borderId="12" xfId="0" applyNumberFormat="1" applyFill="1" applyBorder="1" applyAlignment="1" applyProtection="1">
      <alignment horizontal="center"/>
      <protection locked="0"/>
    </xf>
    <xf numFmtId="4" fontId="0" fillId="0" borderId="30" xfId="0" applyNumberFormat="1" applyBorder="1" applyAlignment="1">
      <alignment horizontal="center"/>
    </xf>
    <xf numFmtId="4" fontId="10" fillId="0" borderId="14" xfId="0" applyNumberFormat="1" applyFont="1" applyBorder="1" applyAlignment="1">
      <alignment horizontal="center"/>
    </xf>
    <xf numFmtId="4" fontId="10" fillId="0" borderId="0" xfId="0" applyNumberFormat="1" applyFont="1" applyBorder="1" applyAlignment="1">
      <alignment horizontal="center"/>
    </xf>
    <xf numFmtId="0" fontId="6" fillId="0" borderId="0" xfId="0" applyFont="1" applyAlignment="1">
      <alignment horizontal="left"/>
    </xf>
    <xf numFmtId="4" fontId="0" fillId="0" borderId="0" xfId="0" applyNumberFormat="1" applyAlignment="1">
      <alignment horizontal="center"/>
    </xf>
    <xf numFmtId="0" fontId="6" fillId="0" borderId="0" xfId="0" applyFont="1" applyFill="1"/>
    <xf numFmtId="0" fontId="6" fillId="10" borderId="0" xfId="0" applyFont="1" applyFill="1"/>
    <xf numFmtId="4" fontId="55" fillId="10" borderId="9" xfId="0" applyNumberFormat="1" applyFont="1" applyFill="1" applyBorder="1" applyAlignment="1">
      <alignment horizontal="center" wrapText="1"/>
    </xf>
    <xf numFmtId="165" fontId="55" fillId="10" borderId="15" xfId="0" applyNumberFormat="1" applyFont="1" applyFill="1" applyBorder="1" applyAlignment="1" applyProtection="1">
      <alignment horizontal="center" wrapText="1"/>
    </xf>
    <xf numFmtId="165" fontId="55" fillId="10" borderId="11" xfId="0" applyNumberFormat="1" applyFont="1" applyFill="1" applyBorder="1" applyAlignment="1" applyProtection="1">
      <alignment horizontal="center" wrapText="1"/>
    </xf>
    <xf numFmtId="165" fontId="55" fillId="10" borderId="0" xfId="0" applyNumberFormat="1" applyFont="1" applyFill="1" applyBorder="1" applyAlignment="1" applyProtection="1">
      <alignment horizontal="center" wrapText="1"/>
    </xf>
    <xf numFmtId="4" fontId="52" fillId="10" borderId="30" xfId="0" applyNumberFormat="1" applyFont="1" applyFill="1" applyBorder="1" applyAlignment="1">
      <alignment horizontal="center"/>
    </xf>
    <xf numFmtId="4" fontId="52" fillId="10" borderId="14" xfId="0" applyNumberFormat="1" applyFont="1" applyFill="1" applyBorder="1" applyAlignment="1">
      <alignment horizontal="center"/>
    </xf>
    <xf numFmtId="4" fontId="52" fillId="10" borderId="0" xfId="0" applyNumberFormat="1" applyFont="1" applyFill="1" applyBorder="1" applyAlignment="1">
      <alignment horizontal="center"/>
    </xf>
    <xf numFmtId="168" fontId="3" fillId="0" borderId="0" xfId="0" applyNumberFormat="1" applyFont="1"/>
    <xf numFmtId="168" fontId="3" fillId="0" borderId="0" xfId="0" applyNumberFormat="1" applyFont="1" applyProtection="1"/>
    <xf numFmtId="0" fontId="32" fillId="7" borderId="13" xfId="0" applyFont="1" applyFill="1" applyBorder="1" applyAlignment="1" applyProtection="1"/>
    <xf numFmtId="9" fontId="56" fillId="0" borderId="26" xfId="0" applyNumberFormat="1" applyFont="1" applyBorder="1" applyAlignment="1" applyProtection="1">
      <alignment horizontal="center"/>
    </xf>
    <xf numFmtId="9" fontId="56" fillId="0" borderId="12" xfId="0" applyNumberFormat="1" applyFont="1" applyBorder="1" applyAlignment="1" applyProtection="1">
      <alignment horizontal="center"/>
    </xf>
    <xf numFmtId="9" fontId="57" fillId="0" borderId="26" xfId="0" applyNumberFormat="1" applyFont="1" applyBorder="1" applyAlignment="1" applyProtection="1">
      <alignment horizontal="center"/>
    </xf>
    <xf numFmtId="0" fontId="53" fillId="0" borderId="0" xfId="0" applyFont="1" applyAlignment="1" applyProtection="1">
      <alignment horizontal="center"/>
    </xf>
    <xf numFmtId="0" fontId="2" fillId="0" borderId="0" xfId="0" applyFont="1" applyAlignment="1" applyProtection="1">
      <alignment horizontal="center"/>
    </xf>
    <xf numFmtId="44" fontId="15" fillId="0" borderId="0" xfId="1" applyFont="1" applyBorder="1" applyAlignment="1" applyProtection="1">
      <alignment horizontal="center"/>
    </xf>
    <xf numFmtId="0" fontId="2" fillId="0" borderId="0" xfId="3" applyFont="1" applyAlignment="1">
      <alignment horizontal="center"/>
    </xf>
    <xf numFmtId="4" fontId="10" fillId="0" borderId="0" xfId="3" applyNumberFormat="1"/>
    <xf numFmtId="0" fontId="10" fillId="0" borderId="0" xfId="3"/>
    <xf numFmtId="4" fontId="3" fillId="0" borderId="0" xfId="3" applyNumberFormat="1" applyFont="1" applyAlignment="1">
      <alignment horizontal="right"/>
    </xf>
    <xf numFmtId="167" fontId="3" fillId="0" borderId="0" xfId="3" applyNumberFormat="1" applyFont="1"/>
    <xf numFmtId="0" fontId="4" fillId="0" borderId="0" xfId="3" applyFont="1" applyAlignment="1">
      <alignment horizontal="center"/>
    </xf>
    <xf numFmtId="4" fontId="5" fillId="2" borderId="1" xfId="3" applyNumberFormat="1" applyFont="1" applyFill="1" applyBorder="1" applyAlignment="1">
      <alignment horizontal="left"/>
    </xf>
    <xf numFmtId="4" fontId="6" fillId="0" borderId="0" xfId="3" applyNumberFormat="1" applyFont="1" applyAlignment="1">
      <alignment horizontal="left"/>
    </xf>
    <xf numFmtId="0" fontId="2" fillId="10" borderId="0" xfId="3" applyFont="1" applyFill="1" applyAlignment="1">
      <alignment horizontal="center"/>
    </xf>
    <xf numFmtId="4" fontId="6" fillId="10" borderId="0" xfId="3" applyNumberFormat="1" applyFont="1" applyFill="1" applyAlignment="1">
      <alignment horizontal="left"/>
    </xf>
    <xf numFmtId="4" fontId="10" fillId="10" borderId="0" xfId="3" applyNumberFormat="1" applyFill="1"/>
    <xf numFmtId="4" fontId="3" fillId="0" borderId="9" xfId="3" applyNumberFormat="1" applyFont="1" applyBorder="1" applyAlignment="1">
      <alignment horizontal="center" wrapText="1"/>
    </xf>
    <xf numFmtId="4" fontId="59" fillId="0" borderId="9" xfId="3" applyNumberFormat="1" applyFont="1" applyBorder="1" applyAlignment="1">
      <alignment horizontal="center" wrapText="1"/>
    </xf>
    <xf numFmtId="4" fontId="13" fillId="4" borderId="9" xfId="3" applyNumberFormat="1" applyFont="1" applyFill="1" applyBorder="1" applyAlignment="1">
      <alignment horizontal="center" wrapText="1"/>
    </xf>
    <xf numFmtId="4" fontId="13" fillId="4" borderId="10" xfId="3" applyNumberFormat="1" applyFont="1" applyFill="1" applyBorder="1" applyAlignment="1">
      <alignment horizontal="center" wrapText="1"/>
    </xf>
    <xf numFmtId="0" fontId="3" fillId="0" borderId="0" xfId="3" applyFont="1" applyAlignment="1">
      <alignment horizontal="right"/>
    </xf>
    <xf numFmtId="3" fontId="10" fillId="0" borderId="12" xfId="3" applyNumberFormat="1" applyBorder="1" applyAlignment="1" applyProtection="1">
      <alignment horizontal="center"/>
      <protection locked="0"/>
    </xf>
    <xf numFmtId="0" fontId="2" fillId="10" borderId="0" xfId="3" applyFont="1" applyFill="1" applyAlignment="1">
      <alignment horizontal="left"/>
    </xf>
    <xf numFmtId="4" fontId="3" fillId="0" borderId="0" xfId="3" applyNumberFormat="1" applyFont="1" applyAlignment="1">
      <alignment horizontal="center" wrapText="1"/>
    </xf>
    <xf numFmtId="0" fontId="2" fillId="0" borderId="0" xfId="3" applyFont="1" applyAlignment="1">
      <alignment horizontal="center" shrinkToFit="1"/>
    </xf>
    <xf numFmtId="3" fontId="10" fillId="0" borderId="0" xfId="3" applyNumberFormat="1" applyAlignment="1" applyProtection="1">
      <alignment horizontal="center"/>
      <protection locked="0"/>
    </xf>
    <xf numFmtId="4" fontId="10" fillId="0" borderId="0" xfId="3" applyNumberFormat="1" applyAlignment="1" applyProtection="1">
      <alignment horizontal="center"/>
      <protection locked="0"/>
    </xf>
    <xf numFmtId="169" fontId="3" fillId="11" borderId="16" xfId="3" applyNumberFormat="1" applyFont="1" applyFill="1" applyBorder="1" applyAlignment="1">
      <alignment horizontal="center" vertical="center"/>
    </xf>
    <xf numFmtId="169" fontId="3" fillId="0" borderId="16" xfId="3" applyNumberFormat="1" applyFont="1" applyBorder="1" applyAlignment="1">
      <alignment horizontal="center" vertical="center"/>
    </xf>
    <xf numFmtId="0" fontId="3" fillId="0" borderId="0" xfId="3" applyFont="1" applyAlignment="1">
      <alignment horizontal="center"/>
    </xf>
    <xf numFmtId="0" fontId="3" fillId="0" borderId="8" xfId="3" applyFont="1" applyBorder="1" applyAlignment="1">
      <alignment horizontal="center"/>
    </xf>
    <xf numFmtId="4" fontId="10" fillId="0" borderId="16" xfId="3" applyNumberFormat="1" applyBorder="1" applyAlignment="1" applyProtection="1">
      <alignment horizontal="center"/>
      <protection locked="0"/>
    </xf>
    <xf numFmtId="4" fontId="10" fillId="9" borderId="12" xfId="3" applyNumberFormat="1" applyFill="1" applyBorder="1" applyAlignment="1" applyProtection="1">
      <alignment horizontal="center"/>
    </xf>
    <xf numFmtId="0" fontId="2" fillId="0" borderId="0" xfId="3" applyFont="1" applyAlignment="1" applyProtection="1">
      <alignment horizontal="center"/>
    </xf>
    <xf numFmtId="4" fontId="10" fillId="9" borderId="8" xfId="3" applyNumberFormat="1" applyFill="1" applyBorder="1" applyAlignment="1" applyProtection="1">
      <alignment horizontal="center"/>
    </xf>
    <xf numFmtId="4" fontId="11" fillId="0" borderId="0" xfId="0" applyNumberFormat="1" applyFont="1" applyAlignment="1" applyProtection="1">
      <alignment horizontal="left" wrapText="1"/>
    </xf>
    <xf numFmtId="0" fontId="4" fillId="0" borderId="0" xfId="0" applyFont="1" applyAlignment="1" applyProtection="1">
      <alignment horizontal="center"/>
    </xf>
    <xf numFmtId="4" fontId="5" fillId="2" borderId="2" xfId="0" applyNumberFormat="1" applyFont="1" applyFill="1" applyBorder="1" applyAlignment="1" applyProtection="1">
      <alignment horizontal="center"/>
    </xf>
    <xf numFmtId="4" fontId="5" fillId="2" borderId="3" xfId="0" applyNumberFormat="1" applyFont="1" applyFill="1" applyBorder="1" applyAlignment="1" applyProtection="1">
      <alignment horizontal="center"/>
    </xf>
    <xf numFmtId="4" fontId="5" fillId="2" borderId="4" xfId="0" applyNumberFormat="1" applyFont="1" applyFill="1" applyBorder="1" applyAlignment="1" applyProtection="1">
      <alignment horizontal="center"/>
    </xf>
    <xf numFmtId="4" fontId="5" fillId="0" borderId="0" xfId="0" applyNumberFormat="1" applyFont="1" applyFill="1" applyBorder="1" applyAlignment="1" applyProtection="1">
      <alignment horizontal="center"/>
    </xf>
    <xf numFmtId="4" fontId="5" fillId="2" borderId="5" xfId="0" applyNumberFormat="1" applyFont="1" applyFill="1" applyBorder="1" applyAlignment="1" applyProtection="1">
      <alignment horizontal="center"/>
    </xf>
    <xf numFmtId="4" fontId="5" fillId="2" borderId="6" xfId="0" applyNumberFormat="1" applyFont="1" applyFill="1" applyBorder="1" applyAlignment="1" applyProtection="1">
      <alignment horizontal="center"/>
    </xf>
    <xf numFmtId="4" fontId="5" fillId="2" borderId="7" xfId="0" applyNumberFormat="1" applyFont="1" applyFill="1" applyBorder="1" applyAlignment="1" applyProtection="1">
      <alignment horizontal="center"/>
    </xf>
    <xf numFmtId="4" fontId="8" fillId="0" borderId="0" xfId="2" applyNumberFormat="1" applyAlignment="1" applyProtection="1">
      <alignment horizontal="left" wrapText="1"/>
    </xf>
    <xf numFmtId="0" fontId="3" fillId="0" borderId="15" xfId="0" applyFont="1" applyBorder="1" applyAlignment="1" applyProtection="1">
      <alignment horizontal="center"/>
    </xf>
    <xf numFmtId="0" fontId="3" fillId="0" borderId="11" xfId="0" applyFont="1" applyBorder="1" applyAlignment="1" applyProtection="1">
      <alignment horizontal="center"/>
    </xf>
    <xf numFmtId="4" fontId="0" fillId="0" borderId="0" xfId="0" applyNumberFormat="1" applyAlignment="1" applyProtection="1">
      <alignment horizontal="left"/>
    </xf>
    <xf numFmtId="4" fontId="3" fillId="0" borderId="0" xfId="0" applyNumberFormat="1" applyFont="1" applyAlignment="1" applyProtection="1">
      <alignment horizontal="center"/>
    </xf>
    <xf numFmtId="0" fontId="4" fillId="0" borderId="18" xfId="0" applyFont="1" applyBorder="1" applyAlignment="1" applyProtection="1">
      <alignment horizontal="center"/>
    </xf>
    <xf numFmtId="0" fontId="4" fillId="0" borderId="19" xfId="0" applyFont="1" applyBorder="1" applyAlignment="1" applyProtection="1">
      <alignment horizontal="center"/>
    </xf>
    <xf numFmtId="0" fontId="4" fillId="0" borderId="20" xfId="0" applyFont="1" applyBorder="1" applyAlignment="1" applyProtection="1">
      <alignment horizontal="center"/>
    </xf>
    <xf numFmtId="0" fontId="28" fillId="0" borderId="21" xfId="0" applyFont="1" applyBorder="1" applyAlignment="1" applyProtection="1">
      <alignment horizontal="center"/>
    </xf>
    <xf numFmtId="0" fontId="28" fillId="0" borderId="22" xfId="0" applyFont="1" applyBorder="1" applyAlignment="1" applyProtection="1">
      <alignment horizontal="center"/>
    </xf>
    <xf numFmtId="0" fontId="28" fillId="0" borderId="23" xfId="0" applyFont="1" applyBorder="1" applyAlignment="1" applyProtection="1">
      <alignment horizontal="center"/>
    </xf>
    <xf numFmtId="0" fontId="24" fillId="0" borderId="0" xfId="0" applyFont="1" applyAlignment="1" applyProtection="1">
      <alignment horizontal="right"/>
    </xf>
    <xf numFmtId="0" fontId="3" fillId="7" borderId="24" xfId="0" applyFont="1" applyFill="1" applyBorder="1" applyAlignment="1" applyProtection="1">
      <alignment horizontal="left"/>
    </xf>
    <xf numFmtId="0" fontId="3" fillId="7" borderId="25" xfId="0" applyFont="1" applyFill="1" applyBorder="1" applyAlignment="1" applyProtection="1">
      <alignment horizontal="left"/>
    </xf>
    <xf numFmtId="0" fontId="3" fillId="7" borderId="5" xfId="0" applyFont="1" applyFill="1" applyBorder="1" applyAlignment="1" applyProtection="1">
      <alignment horizontal="left"/>
    </xf>
    <xf numFmtId="0" fontId="3" fillId="7" borderId="7" xfId="0" applyFont="1" applyFill="1" applyBorder="1" applyAlignment="1" applyProtection="1">
      <alignment horizontal="left"/>
    </xf>
    <xf numFmtId="0" fontId="32" fillId="7" borderId="13" xfId="0" applyFont="1" applyFill="1" applyBorder="1" applyAlignment="1" applyProtection="1">
      <alignment horizontal="center"/>
    </xf>
    <xf numFmtId="0" fontId="35" fillId="0" borderId="0" xfId="0" applyFont="1" applyAlignment="1">
      <alignment horizontal="center"/>
    </xf>
    <xf numFmtId="0" fontId="39" fillId="0" borderId="0" xfId="0" applyFont="1" applyFill="1" applyBorder="1" applyAlignment="1">
      <alignment vertical="top" wrapText="1"/>
    </xf>
    <xf numFmtId="0" fontId="44" fillId="0" borderId="24" xfId="0" applyFont="1" applyBorder="1" applyAlignment="1">
      <alignment horizontal="center" wrapText="1"/>
    </xf>
    <xf numFmtId="0" fontId="44" fillId="0" borderId="0" xfId="0" applyFont="1" applyBorder="1" applyAlignment="1">
      <alignment horizontal="center" wrapText="1"/>
    </xf>
    <xf numFmtId="0" fontId="44" fillId="0" borderId="25" xfId="0" applyFont="1" applyBorder="1" applyAlignment="1">
      <alignment horizontal="center" wrapText="1"/>
    </xf>
    <xf numFmtId="0" fontId="44" fillId="0" borderId="24" xfId="0" applyFont="1" applyBorder="1" applyAlignment="1">
      <alignment horizontal="center"/>
    </xf>
    <xf numFmtId="0" fontId="44" fillId="0" borderId="0" xfId="0" applyFont="1" applyBorder="1" applyAlignment="1">
      <alignment horizontal="center"/>
    </xf>
    <xf numFmtId="0" fontId="44" fillId="0" borderId="25" xfId="0" applyFont="1" applyBorder="1" applyAlignment="1">
      <alignment horizontal="center"/>
    </xf>
    <xf numFmtId="0" fontId="10" fillId="0" borderId="24" xfId="0" applyFont="1" applyBorder="1" applyAlignment="1">
      <alignment horizontal="center"/>
    </xf>
    <xf numFmtId="0" fontId="10" fillId="0" borderId="0" xfId="0" applyFont="1" applyBorder="1" applyAlignment="1">
      <alignment horizontal="center"/>
    </xf>
    <xf numFmtId="0" fontId="10" fillId="0" borderId="25" xfId="0"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53" fillId="0" borderId="0" xfId="0" applyFont="1" applyAlignment="1" applyProtection="1">
      <alignment horizontal="center"/>
    </xf>
    <xf numFmtId="4" fontId="28" fillId="9" borderId="13" xfId="0" applyNumberFormat="1" applyFont="1" applyFill="1" applyBorder="1" applyAlignment="1">
      <alignment horizontal="center"/>
    </xf>
    <xf numFmtId="0" fontId="53" fillId="0" borderId="6" xfId="0" applyFont="1" applyBorder="1" applyAlignment="1" applyProtection="1">
      <alignment horizontal="center"/>
    </xf>
    <xf numFmtId="0" fontId="2" fillId="0" borderId="0" xfId="0" applyFont="1" applyAlignment="1" applyProtection="1">
      <alignment horizontal="center"/>
    </xf>
    <xf numFmtId="0" fontId="9" fillId="0" borderId="0" xfId="0" applyFont="1" applyAlignment="1" applyProtection="1">
      <alignment horizontal="center" wrapText="1"/>
    </xf>
    <xf numFmtId="0" fontId="54" fillId="10" borderId="0" xfId="0" applyFont="1" applyFill="1" applyAlignment="1">
      <alignment horizontal="center" vertical="top" textRotation="45" wrapText="1"/>
    </xf>
    <xf numFmtId="0" fontId="52" fillId="10" borderId="0" xfId="0" applyFont="1" applyFill="1" applyAlignment="1">
      <alignment horizontal="center" wrapText="1"/>
    </xf>
    <xf numFmtId="169" fontId="3" fillId="11" borderId="31" xfId="3" applyNumberFormat="1" applyFont="1" applyFill="1" applyBorder="1" applyAlignment="1">
      <alignment horizontal="center" vertical="center"/>
    </xf>
    <xf numFmtId="169" fontId="3" fillId="11" borderId="12" xfId="3" applyNumberFormat="1" applyFont="1" applyFill="1" applyBorder="1" applyAlignment="1">
      <alignment horizontal="center" vertical="center"/>
    </xf>
    <xf numFmtId="169" fontId="3" fillId="0" borderId="31" xfId="3" applyNumberFormat="1" applyFont="1" applyBorder="1" applyAlignment="1">
      <alignment horizontal="center" vertical="center"/>
    </xf>
    <xf numFmtId="169" fontId="3" fillId="0" borderId="12" xfId="3" applyNumberFormat="1" applyFont="1" applyBorder="1" applyAlignment="1">
      <alignment horizontal="center" vertical="center"/>
    </xf>
    <xf numFmtId="4" fontId="3" fillId="0" borderId="31" xfId="4" applyNumberFormat="1" applyFont="1" applyBorder="1" applyAlignment="1">
      <alignment horizontal="center" vertical="center"/>
    </xf>
    <xf numFmtId="4" fontId="3" fillId="0" borderId="12" xfId="4" applyNumberFormat="1" applyFont="1" applyBorder="1" applyAlignment="1">
      <alignment horizontal="center" vertical="center"/>
    </xf>
    <xf numFmtId="0" fontId="4" fillId="0" borderId="0" xfId="3" applyFont="1" applyAlignment="1">
      <alignment horizontal="center"/>
    </xf>
    <xf numFmtId="4" fontId="5" fillId="2" borderId="2" xfId="3" applyNumberFormat="1" applyFont="1" applyFill="1" applyBorder="1" applyAlignment="1">
      <alignment horizontal="center"/>
    </xf>
    <xf numFmtId="4" fontId="5" fillId="2" borderId="3" xfId="3" applyNumberFormat="1" applyFont="1" applyFill="1" applyBorder="1" applyAlignment="1">
      <alignment horizontal="center"/>
    </xf>
    <xf numFmtId="4" fontId="5" fillId="2" borderId="4" xfId="3" applyNumberFormat="1" applyFont="1" applyFill="1" applyBorder="1" applyAlignment="1">
      <alignment horizontal="center"/>
    </xf>
    <xf numFmtId="4" fontId="5" fillId="2" borderId="5" xfId="3" applyNumberFormat="1" applyFont="1" applyFill="1" applyBorder="1" applyAlignment="1">
      <alignment horizontal="center"/>
    </xf>
    <xf numFmtId="4" fontId="5" fillId="2" borderId="6" xfId="3" applyNumberFormat="1" applyFont="1" applyFill="1" applyBorder="1" applyAlignment="1">
      <alignment horizontal="center"/>
    </xf>
    <xf numFmtId="4" fontId="5" fillId="2" borderId="7" xfId="3" applyNumberFormat="1" applyFont="1" applyFill="1" applyBorder="1" applyAlignment="1">
      <alignment horizontal="center"/>
    </xf>
    <xf numFmtId="169" fontId="3" fillId="11" borderId="26" xfId="3" applyNumberFormat="1" applyFont="1" applyFill="1" applyBorder="1" applyAlignment="1">
      <alignment horizontal="center" vertical="center"/>
    </xf>
    <xf numFmtId="169" fontId="3" fillId="0" borderId="26" xfId="3" applyNumberFormat="1" applyFont="1" applyBorder="1" applyAlignment="1">
      <alignment horizontal="center" vertical="center"/>
    </xf>
  </cellXfs>
  <cellStyles count="5">
    <cellStyle name="Lien hypertexte" xfId="2" builtinId="8"/>
    <cellStyle name="Monétaire" xfId="1" builtinId="4"/>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66675</xdr:rowOff>
    </xdr:from>
    <xdr:to>
      <xdr:col>2</xdr:col>
      <xdr:colOff>142875</xdr:colOff>
      <xdr:row>2</xdr:row>
      <xdr:rowOff>180975</xdr:rowOff>
    </xdr:to>
    <xdr:pic>
      <xdr:nvPicPr>
        <xdr:cNvPr id="2" name="Picture 1" descr="Université de Montré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66675"/>
          <a:ext cx="1104900" cy="466725"/>
        </a:xfrm>
        <a:prstGeom prst="rect">
          <a:avLst/>
        </a:prstGeom>
        <a:noFill/>
        <a:ln w="9525">
          <a:noFill/>
          <a:miter lim="800000"/>
          <a:headEnd/>
          <a:tailEnd/>
        </a:ln>
      </xdr:spPr>
    </xdr:pic>
    <xdr:clientData/>
  </xdr:twoCellAnchor>
  <xdr:oneCellAnchor>
    <xdr:from>
      <xdr:col>9</xdr:col>
      <xdr:colOff>66674</xdr:colOff>
      <xdr:row>3</xdr:row>
      <xdr:rowOff>295274</xdr:rowOff>
    </xdr:from>
    <xdr:ext cx="5514976" cy="7800976"/>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6524624" y="847724"/>
          <a:ext cx="5514976" cy="780097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fr-CA" sz="1100" b="1" i="0">
              <a:solidFill>
                <a:schemeClr val="tx1"/>
              </a:solidFill>
              <a:latin typeface="+mn-lt"/>
              <a:ea typeface="+mn-ea"/>
              <a:cs typeface="+mn-cs"/>
            </a:rPr>
            <a:t>Notes</a:t>
          </a:r>
          <a:r>
            <a:rPr lang="fr-CA" sz="1100">
              <a:solidFill>
                <a:schemeClr val="tx1"/>
              </a:solidFill>
              <a:latin typeface="+mn-lt"/>
              <a:ea typeface="+mn-ea"/>
              <a:cs typeface="+mn-cs"/>
            </a:rPr>
            <a:t> </a:t>
          </a:r>
        </a:p>
        <a:p>
          <a:endParaRPr lang="fr-CA" sz="1100">
            <a:solidFill>
              <a:schemeClr val="tx1"/>
            </a:solidFill>
            <a:latin typeface="+mn-lt"/>
            <a:ea typeface="+mn-ea"/>
            <a:cs typeface="+mn-cs"/>
          </a:endParaRPr>
        </a:p>
        <a:p>
          <a:r>
            <a:rPr lang="fr-CA" sz="1100" b="1">
              <a:solidFill>
                <a:schemeClr val="tx1"/>
              </a:solidFill>
              <a:latin typeface="+mn-lt"/>
              <a:ea typeface="+mn-ea"/>
              <a:cs typeface="+mn-cs"/>
            </a:rPr>
            <a:t>Repas</a:t>
          </a:r>
          <a:r>
            <a:rPr lang="fr-CA" sz="1100">
              <a:solidFill>
                <a:schemeClr val="tx1"/>
              </a:solidFill>
              <a:latin typeface="+mn-lt"/>
              <a:ea typeface="+mn-ea"/>
              <a:cs typeface="+mn-cs"/>
            </a:rPr>
            <a:t> :</a:t>
          </a:r>
          <a:endParaRPr lang="fr-CA"/>
        </a:p>
        <a:p>
          <a:r>
            <a:rPr lang="fr-CA" sz="1100" u="sng">
              <a:solidFill>
                <a:schemeClr val="tx1"/>
              </a:solidFill>
              <a:latin typeface="+mn-lt"/>
              <a:ea typeface="+mn-ea"/>
              <a:cs typeface="+mn-cs"/>
            </a:rPr>
            <a:t>Factures avec pourboire (repas)</a:t>
          </a:r>
          <a:r>
            <a:rPr lang="fr-CA" sz="1100">
              <a:solidFill>
                <a:schemeClr val="tx1"/>
              </a:solidFill>
              <a:latin typeface="+mn-lt"/>
              <a:ea typeface="+mn-ea"/>
              <a:cs typeface="+mn-cs"/>
            </a:rPr>
            <a:t>: </a:t>
          </a:r>
          <a:endParaRPr lang="fr-CA"/>
        </a:p>
        <a:p>
          <a:r>
            <a:rPr lang="fr-CA" sz="1100">
              <a:solidFill>
                <a:schemeClr val="tx1"/>
              </a:solidFill>
              <a:latin typeface="+mn-lt"/>
              <a:ea typeface="+mn-ea"/>
              <a:cs typeface="+mn-cs"/>
            </a:rPr>
            <a:t>A) Prendre le montant des taxes inscrites sur la facture détaillée. </a:t>
          </a:r>
          <a:endParaRPr lang="fr-CA"/>
        </a:p>
        <a:p>
          <a:r>
            <a:rPr lang="fr-CA" sz="1100">
              <a:solidFill>
                <a:schemeClr val="tx1"/>
              </a:solidFill>
              <a:latin typeface="+mn-lt"/>
              <a:ea typeface="+mn-ea"/>
              <a:cs typeface="+mn-cs"/>
            </a:rPr>
            <a:t>B) Si le détail des taxes est manquant, inscrire dans le calculateur </a:t>
          </a:r>
          <a:r>
            <a:rPr lang="fr-CA" sz="1100" b="1">
              <a:solidFill>
                <a:schemeClr val="tx1"/>
              </a:solidFill>
              <a:latin typeface="+mn-lt"/>
              <a:ea typeface="+mn-ea"/>
              <a:cs typeface="+mn-cs"/>
            </a:rPr>
            <a:t>(1) </a:t>
          </a:r>
          <a:r>
            <a:rPr lang="fr-CA" sz="1100">
              <a:solidFill>
                <a:schemeClr val="tx1"/>
              </a:solidFill>
              <a:latin typeface="+mn-lt"/>
              <a:ea typeface="+mn-ea"/>
              <a:cs typeface="+mn-cs"/>
            </a:rPr>
            <a:t>le montant total excluant le pourboire.</a:t>
          </a:r>
          <a:endParaRPr lang="fr-CA"/>
        </a:p>
        <a:p>
          <a:r>
            <a:rPr lang="fr-CA" sz="1100">
              <a:solidFill>
                <a:schemeClr val="tx1"/>
              </a:solidFill>
              <a:latin typeface="+mn-lt"/>
              <a:ea typeface="+mn-ea"/>
              <a:cs typeface="+mn-cs"/>
            </a:rPr>
            <a:t> </a:t>
          </a:r>
          <a:endParaRPr lang="fr-CA"/>
        </a:p>
        <a:p>
          <a:r>
            <a:rPr lang="fr-CA" sz="1100">
              <a:solidFill>
                <a:schemeClr val="tx1"/>
              </a:solidFill>
              <a:latin typeface="+mn-lt"/>
              <a:ea typeface="+mn-ea"/>
              <a:cs typeface="+mn-cs"/>
            </a:rPr>
            <a:t> </a:t>
          </a:r>
          <a:r>
            <a:rPr lang="fr-CA" sz="1100" b="1">
              <a:solidFill>
                <a:schemeClr val="tx1"/>
              </a:solidFill>
              <a:latin typeface="+mn-lt"/>
              <a:ea typeface="+mn-ea"/>
              <a:cs typeface="+mn-cs"/>
            </a:rPr>
            <a:t>Autocotisation</a:t>
          </a:r>
          <a:r>
            <a:rPr lang="fr-CA" sz="1100">
              <a:solidFill>
                <a:schemeClr val="tx1"/>
              </a:solidFill>
              <a:latin typeface="+mn-lt"/>
              <a:ea typeface="+mn-ea"/>
              <a:cs typeface="+mn-cs"/>
            </a:rPr>
            <a:t> :</a:t>
          </a:r>
          <a:endParaRPr lang="fr-CA"/>
        </a:p>
        <a:p>
          <a:r>
            <a:rPr lang="fr-CA" sz="1100">
              <a:solidFill>
                <a:schemeClr val="tx1"/>
              </a:solidFill>
              <a:latin typeface="+mn-lt"/>
              <a:ea typeface="+mn-ea"/>
              <a:cs typeface="+mn-cs"/>
            </a:rPr>
            <a:t>Les dépenses que vous effectuez à l’extérieur du Québec ou du Canada qui n'incluent pas de TPS et de TVQ sont tout de même taxables si les biens ou services sont achetés dans le</a:t>
          </a:r>
          <a:r>
            <a:rPr lang="fr-CA" sz="1100" b="1">
              <a:solidFill>
                <a:schemeClr val="tx1"/>
              </a:solidFill>
              <a:latin typeface="+mn-lt"/>
              <a:ea typeface="+mn-ea"/>
              <a:cs typeface="+mn-cs"/>
            </a:rPr>
            <a:t> but d'être utilisés ou consommés</a:t>
          </a:r>
          <a:r>
            <a:rPr lang="fr-CA" sz="1100">
              <a:solidFill>
                <a:schemeClr val="tx1"/>
              </a:solidFill>
              <a:latin typeface="+mn-lt"/>
              <a:ea typeface="+mn-ea"/>
              <a:cs typeface="+mn-cs"/>
            </a:rPr>
            <a:t> au Québec</a:t>
          </a:r>
          <a:r>
            <a:rPr lang="fr-CA" sz="1100" i="1">
              <a:solidFill>
                <a:schemeClr val="tx1"/>
              </a:solidFill>
              <a:latin typeface="+mn-lt"/>
              <a:ea typeface="+mn-ea"/>
              <a:cs typeface="+mn-cs"/>
            </a:rPr>
            <a:t> (lorsque l'on "importe" le bien ou le service).</a:t>
          </a:r>
          <a:endParaRPr lang="fr-CA" sz="1100">
            <a:solidFill>
              <a:schemeClr val="tx1"/>
            </a:solidFill>
            <a:latin typeface="+mn-lt"/>
            <a:ea typeface="+mn-ea"/>
            <a:cs typeface="+mn-cs"/>
          </a:endParaRPr>
        </a:p>
        <a:p>
          <a:r>
            <a:rPr lang="fr-CA" sz="1100">
              <a:solidFill>
                <a:schemeClr val="tx1"/>
              </a:solidFill>
              <a:latin typeface="+mn-lt"/>
              <a:ea typeface="+mn-ea"/>
              <a:cs typeface="+mn-cs"/>
            </a:rPr>
            <a:t> </a:t>
          </a:r>
          <a:endParaRPr lang="fr-CA"/>
        </a:p>
        <a:p>
          <a:r>
            <a:rPr lang="fr-CA" sz="1100">
              <a:solidFill>
                <a:schemeClr val="tx1"/>
              </a:solidFill>
              <a:latin typeface="+mn-lt"/>
              <a:ea typeface="+mn-ea"/>
              <a:cs typeface="+mn-cs"/>
            </a:rPr>
            <a:t>Si vous n'avez pas payé de TPS, de TVQ ou les deux auprès d'un fournisseur de l'extérieur du Québec, vous devez effectuer une autocotisation pour que l’Université envoie aux gouvernements concernés les montants de taxes qui leur sont dus. </a:t>
          </a:r>
          <a:endParaRPr lang="fr-CA"/>
        </a:p>
        <a:p>
          <a:r>
            <a:rPr lang="fr-CA" sz="1100">
              <a:solidFill>
                <a:schemeClr val="tx1"/>
              </a:solidFill>
              <a:latin typeface="+mn-lt"/>
              <a:ea typeface="+mn-ea"/>
              <a:cs typeface="+mn-cs"/>
            </a:rPr>
            <a:t> </a:t>
          </a:r>
          <a:endParaRPr lang="fr-CA"/>
        </a:p>
        <a:p>
          <a:r>
            <a:rPr lang="fr-CA" sz="1100" b="1" i="1">
              <a:solidFill>
                <a:schemeClr val="tx1"/>
              </a:solidFill>
              <a:latin typeface="+mn-lt"/>
              <a:ea typeface="+mn-ea"/>
              <a:cs typeface="+mn-cs"/>
            </a:rPr>
            <a:t>Attention</a:t>
          </a:r>
          <a:r>
            <a:rPr lang="fr-CA" sz="1100" i="1">
              <a:solidFill>
                <a:schemeClr val="tx1"/>
              </a:solidFill>
              <a:latin typeface="+mn-lt"/>
              <a:ea typeface="+mn-ea"/>
              <a:cs typeface="+mn-cs"/>
            </a:rPr>
            <a:t>: Ne pas oublier que les dépenses consommées sur place, c’est-à-dire à l'extérieur du Québec, ne doivent pas être autocotisées. Par exemple, lors d'un congrès à New-York, il ne faut pas autocotiser les frais de subsistance, logement</a:t>
          </a:r>
          <a:r>
            <a:rPr lang="fr-CA" sz="1100" i="1" baseline="0">
              <a:solidFill>
                <a:schemeClr val="tx1"/>
              </a:solidFill>
              <a:latin typeface="+mn-lt"/>
              <a:ea typeface="+mn-ea"/>
              <a:cs typeface="+mn-cs"/>
            </a:rPr>
            <a:t> </a:t>
          </a:r>
          <a:r>
            <a:rPr lang="fr-CA" sz="1100" i="1">
              <a:solidFill>
                <a:schemeClr val="tx1"/>
              </a:solidFill>
              <a:latin typeface="+mn-lt"/>
              <a:ea typeface="+mn-ea"/>
              <a:cs typeface="+mn-cs"/>
            </a:rPr>
            <a:t>et de transport, car ils ne sont pas "importés" au Québec. </a:t>
          </a:r>
          <a:endParaRPr lang="fr-CA" sz="1100">
            <a:solidFill>
              <a:schemeClr val="tx1"/>
            </a:solidFill>
            <a:latin typeface="+mn-lt"/>
            <a:ea typeface="+mn-ea"/>
            <a:cs typeface="+mn-cs"/>
          </a:endParaRPr>
        </a:p>
        <a:p>
          <a:r>
            <a:rPr lang="fr-CA" sz="1100" i="1">
              <a:solidFill>
                <a:schemeClr val="tx1"/>
              </a:solidFill>
              <a:latin typeface="+mn-lt"/>
              <a:ea typeface="+mn-ea"/>
              <a:cs typeface="+mn-cs"/>
            </a:rPr>
            <a:t> </a:t>
          </a:r>
          <a:endParaRPr lang="fr-CA" sz="1100">
            <a:solidFill>
              <a:schemeClr val="tx1"/>
            </a:solidFill>
            <a:latin typeface="+mn-lt"/>
            <a:ea typeface="+mn-ea"/>
            <a:cs typeface="+mn-cs"/>
          </a:endParaRPr>
        </a:p>
        <a:p>
          <a:r>
            <a:rPr lang="fr-CA" sz="1100">
              <a:solidFill>
                <a:schemeClr val="tx1"/>
              </a:solidFill>
              <a:latin typeface="+mn-lt"/>
              <a:ea typeface="+mn-ea"/>
              <a:cs typeface="+mn-cs"/>
            </a:rPr>
            <a:t>Le tableau ci-dessous présente quelques exemples typiques d'achats effectués à l'extérieur du Québec dont il faut autocotiser.  </a:t>
          </a:r>
          <a:endParaRPr lang="fr-CA"/>
        </a:p>
        <a:p>
          <a:endParaRPr lang="fr-CA" sz="1100">
            <a:solidFill>
              <a:schemeClr val="tx1"/>
            </a:solidFill>
            <a:latin typeface="+mn-lt"/>
            <a:ea typeface="+mn-ea"/>
            <a:cs typeface="+mn-cs"/>
          </a:endParaRPr>
        </a:p>
        <a:p>
          <a:endParaRPr lang="fr-CA" sz="1100">
            <a:solidFill>
              <a:schemeClr val="tx1"/>
            </a:solidFill>
            <a:latin typeface="+mn-lt"/>
            <a:ea typeface="+mn-ea"/>
            <a:cs typeface="+mn-cs"/>
          </a:endParaRPr>
        </a:p>
        <a:p>
          <a:endParaRPr lang="fr-CA" sz="1100">
            <a:solidFill>
              <a:schemeClr val="tx1"/>
            </a:solidFill>
            <a:latin typeface="+mn-lt"/>
            <a:ea typeface="+mn-ea"/>
            <a:cs typeface="+mn-cs"/>
          </a:endParaRPr>
        </a:p>
        <a:p>
          <a:endParaRPr lang="fr-CA" sz="1100">
            <a:solidFill>
              <a:schemeClr val="tx1"/>
            </a:solidFill>
            <a:latin typeface="+mn-lt"/>
            <a:ea typeface="+mn-ea"/>
            <a:cs typeface="+mn-cs"/>
          </a:endParaRPr>
        </a:p>
        <a:p>
          <a:endParaRPr lang="fr-CA" sz="1100">
            <a:solidFill>
              <a:schemeClr val="tx1"/>
            </a:solidFill>
            <a:latin typeface="+mn-lt"/>
            <a:ea typeface="+mn-ea"/>
            <a:cs typeface="+mn-cs"/>
          </a:endParaRPr>
        </a:p>
        <a:p>
          <a:endParaRPr lang="fr-CA" sz="1100">
            <a:solidFill>
              <a:schemeClr val="tx1"/>
            </a:solidFill>
            <a:latin typeface="+mn-lt"/>
            <a:ea typeface="+mn-ea"/>
            <a:cs typeface="+mn-cs"/>
          </a:endParaRPr>
        </a:p>
        <a:p>
          <a:endParaRPr lang="fr-CA" sz="1100">
            <a:solidFill>
              <a:schemeClr val="tx1"/>
            </a:solidFill>
            <a:latin typeface="+mn-lt"/>
            <a:ea typeface="+mn-ea"/>
            <a:cs typeface="+mn-cs"/>
          </a:endParaRPr>
        </a:p>
        <a:p>
          <a:endParaRPr lang="fr-CA" sz="1100">
            <a:solidFill>
              <a:schemeClr val="tx1"/>
            </a:solidFill>
            <a:latin typeface="+mn-lt"/>
            <a:ea typeface="+mn-ea"/>
            <a:cs typeface="+mn-cs"/>
          </a:endParaRPr>
        </a:p>
        <a:p>
          <a:endParaRPr lang="fr-CA" sz="1100">
            <a:solidFill>
              <a:schemeClr val="tx1"/>
            </a:solidFill>
            <a:latin typeface="+mn-lt"/>
            <a:ea typeface="+mn-ea"/>
            <a:cs typeface="+mn-cs"/>
          </a:endParaRPr>
        </a:p>
        <a:p>
          <a:endParaRPr lang="fr-CA" sz="1100">
            <a:solidFill>
              <a:schemeClr val="tx1"/>
            </a:solidFill>
            <a:latin typeface="+mn-lt"/>
            <a:ea typeface="+mn-ea"/>
            <a:cs typeface="+mn-cs"/>
          </a:endParaRPr>
        </a:p>
        <a:p>
          <a:endParaRPr lang="fr-CA" sz="1100">
            <a:solidFill>
              <a:schemeClr val="tx1"/>
            </a:solidFill>
            <a:latin typeface="+mn-lt"/>
            <a:ea typeface="+mn-ea"/>
            <a:cs typeface="+mn-cs"/>
          </a:endParaRPr>
        </a:p>
        <a:p>
          <a:endParaRPr lang="fr-CA" sz="1100">
            <a:solidFill>
              <a:schemeClr val="tx1"/>
            </a:solidFill>
            <a:latin typeface="+mn-lt"/>
            <a:ea typeface="+mn-ea"/>
            <a:cs typeface="+mn-cs"/>
          </a:endParaRPr>
        </a:p>
        <a:p>
          <a:endParaRPr lang="fr-CA" sz="1100">
            <a:solidFill>
              <a:schemeClr val="tx1"/>
            </a:solidFill>
            <a:latin typeface="+mn-lt"/>
            <a:ea typeface="+mn-ea"/>
            <a:cs typeface="+mn-cs"/>
          </a:endParaRPr>
        </a:p>
        <a:p>
          <a:r>
            <a:rPr lang="fr-CA" sz="1100">
              <a:solidFill>
                <a:schemeClr val="tx1"/>
              </a:solidFill>
              <a:latin typeface="+mn-lt"/>
              <a:ea typeface="+mn-ea"/>
              <a:cs typeface="+mn-cs"/>
            </a:rPr>
            <a:t> </a:t>
          </a:r>
        </a:p>
        <a:p>
          <a:endParaRPr lang="fr-CA"/>
        </a:p>
        <a:p>
          <a:r>
            <a:rPr lang="fr-CA" sz="1100" b="1" i="1">
              <a:solidFill>
                <a:schemeClr val="tx1"/>
              </a:solidFill>
              <a:latin typeface="+mn-lt"/>
              <a:ea typeface="+mn-ea"/>
              <a:cs typeface="+mn-cs"/>
            </a:rPr>
            <a:t>Note</a:t>
          </a:r>
          <a:r>
            <a:rPr lang="fr-CA" sz="1100" i="1">
              <a:solidFill>
                <a:schemeClr val="tx1"/>
              </a:solidFill>
              <a:latin typeface="+mn-lt"/>
              <a:ea typeface="+mn-ea"/>
              <a:cs typeface="+mn-cs"/>
            </a:rPr>
            <a:t>: Achat d'un thermomètre en Saskatchewan: Il n'y a pas d'autocotisation au niveau de la TPS, car la TPS est déjà facturée (province canadienne).</a:t>
          </a:r>
          <a:endParaRPr lang="fr-CA" sz="1100">
            <a:solidFill>
              <a:schemeClr val="tx1"/>
            </a:solidFill>
            <a:latin typeface="+mn-lt"/>
            <a:ea typeface="+mn-ea"/>
            <a:cs typeface="+mn-cs"/>
          </a:endParaRPr>
        </a:p>
        <a:p>
          <a:endParaRPr lang="fr-CA" sz="1100">
            <a:solidFill>
              <a:schemeClr val="tx1"/>
            </a:solidFill>
            <a:latin typeface="+mn-lt"/>
            <a:ea typeface="+mn-ea"/>
            <a:cs typeface="+mn-cs"/>
          </a:endParaRPr>
        </a:p>
        <a:p>
          <a:endParaRPr lang="fr-CA" sz="1100"/>
        </a:p>
      </xdr:txBody>
    </xdr:sp>
    <xdr:clientData/>
  </xdr:oneCellAnchor>
  <xdr:twoCellAnchor editAs="oneCell">
    <xdr:from>
      <xdr:col>9</xdr:col>
      <xdr:colOff>104775</xdr:colOff>
      <xdr:row>17</xdr:row>
      <xdr:rowOff>9524</xdr:rowOff>
    </xdr:from>
    <xdr:to>
      <xdr:col>16</xdr:col>
      <xdr:colOff>174476</xdr:colOff>
      <xdr:row>26</xdr:row>
      <xdr:rowOff>20955</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srcRect l="18029" t="53674" r="58613" b="18767"/>
        <a:stretch/>
      </xdr:blipFill>
      <xdr:spPr>
        <a:xfrm>
          <a:off x="6562725" y="5114924"/>
          <a:ext cx="5426561" cy="1895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123825</xdr:rowOff>
    </xdr:from>
    <xdr:to>
      <xdr:col>2</xdr:col>
      <xdr:colOff>66675</xdr:colOff>
      <xdr:row>2</xdr:row>
      <xdr:rowOff>171450</xdr:rowOff>
    </xdr:to>
    <xdr:pic>
      <xdr:nvPicPr>
        <xdr:cNvPr id="2" name="Picture 1" descr="Université de Montré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23825"/>
          <a:ext cx="1143000" cy="447675"/>
        </a:xfrm>
        <a:prstGeom prst="rect">
          <a:avLst/>
        </a:prstGeom>
        <a:noFill/>
        <a:ln w="9525">
          <a:noFill/>
          <a:miter lim="800000"/>
          <a:headEnd/>
          <a:tailEnd/>
        </a:ln>
      </xdr:spPr>
    </xdr:pic>
    <xdr:clientData/>
  </xdr:twoCellAnchor>
  <xdr:twoCellAnchor>
    <xdr:from>
      <xdr:col>0</xdr:col>
      <xdr:colOff>95250</xdr:colOff>
      <xdr:row>0</xdr:row>
      <xdr:rowOff>123825</xdr:rowOff>
    </xdr:from>
    <xdr:to>
      <xdr:col>2</xdr:col>
      <xdr:colOff>66675</xdr:colOff>
      <xdr:row>2</xdr:row>
      <xdr:rowOff>171450</xdr:rowOff>
    </xdr:to>
    <xdr:pic>
      <xdr:nvPicPr>
        <xdr:cNvPr id="3" name="Picture 1" descr="Université de Montréa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23825"/>
          <a:ext cx="1143000" cy="447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0</xdr:row>
      <xdr:rowOff>190500</xdr:rowOff>
    </xdr:from>
    <xdr:to>
      <xdr:col>2</xdr:col>
      <xdr:colOff>400050</xdr:colOff>
      <xdr:row>2</xdr:row>
      <xdr:rowOff>161925</xdr:rowOff>
    </xdr:to>
    <xdr:pic>
      <xdr:nvPicPr>
        <xdr:cNvPr id="2" name="Picture 1" descr="Université de Montré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190500"/>
          <a:ext cx="1181100" cy="4191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114300</xdr:rowOff>
    </xdr:from>
    <xdr:to>
      <xdr:col>2</xdr:col>
      <xdr:colOff>0</xdr:colOff>
      <xdr:row>2</xdr:row>
      <xdr:rowOff>171450</xdr:rowOff>
    </xdr:to>
    <xdr:pic>
      <xdr:nvPicPr>
        <xdr:cNvPr id="3" name="Picture 1" descr="Université de Montréal">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114300"/>
          <a:ext cx="1038225" cy="3905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200025</xdr:rowOff>
    </xdr:from>
    <xdr:to>
      <xdr:col>1</xdr:col>
      <xdr:colOff>819150</xdr:colOff>
      <xdr:row>2</xdr:row>
      <xdr:rowOff>200025</xdr:rowOff>
    </xdr:to>
    <xdr:pic>
      <xdr:nvPicPr>
        <xdr:cNvPr id="2" name="Picture 1" descr="Université de Montréal">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200025"/>
          <a:ext cx="828675" cy="428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17</xdr:row>
      <xdr:rowOff>142875</xdr:rowOff>
    </xdr:from>
    <xdr:to>
      <xdr:col>6</xdr:col>
      <xdr:colOff>390525</xdr:colOff>
      <xdr:row>17</xdr:row>
      <xdr:rowOff>142876</xdr:rowOff>
    </xdr:to>
    <xdr:cxnSp macro="">
      <xdr:nvCxnSpPr>
        <xdr:cNvPr id="2" name="Connecteur droit avec flèche 1">
          <a:extLst>
            <a:ext uri="{FF2B5EF4-FFF2-40B4-BE49-F238E27FC236}">
              <a16:creationId xmlns:a16="http://schemas.microsoft.com/office/drawing/2014/main" id="{00000000-0008-0000-0500-000002000000}"/>
            </a:ext>
          </a:extLst>
        </xdr:cNvPr>
        <xdr:cNvCxnSpPr/>
      </xdr:nvCxnSpPr>
      <xdr:spPr>
        <a:xfrm flipV="1">
          <a:off x="5000625" y="4067175"/>
          <a:ext cx="32385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171450</xdr:colOff>
      <xdr:row>0</xdr:row>
      <xdr:rowOff>200025</xdr:rowOff>
    </xdr:from>
    <xdr:to>
      <xdr:col>1</xdr:col>
      <xdr:colOff>819150</xdr:colOff>
      <xdr:row>2</xdr:row>
      <xdr:rowOff>200025</xdr:rowOff>
    </xdr:to>
    <xdr:pic>
      <xdr:nvPicPr>
        <xdr:cNvPr id="3" name="Picture 1" descr="Université de Montréal">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200025"/>
          <a:ext cx="876300" cy="428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66676</xdr:rowOff>
    </xdr:from>
    <xdr:to>
      <xdr:col>1</xdr:col>
      <xdr:colOff>292547</xdr:colOff>
      <xdr:row>2</xdr:row>
      <xdr:rowOff>142875</xdr:rowOff>
    </xdr:to>
    <xdr:pic>
      <xdr:nvPicPr>
        <xdr:cNvPr id="2" name="Picture 1" descr="Université de Montréal">
          <a:extLst>
            <a:ext uri="{FF2B5EF4-FFF2-40B4-BE49-F238E27FC236}">
              <a16:creationId xmlns:a16="http://schemas.microsoft.com/office/drawing/2014/main" id="{78142DFC-1F90-4AB1-957D-1CE3DA37912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66676"/>
          <a:ext cx="968822" cy="4267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zoomScale="115" zoomScaleNormal="115" workbookViewId="0">
      <selection activeCell="B36" sqref="B36"/>
    </sheetView>
  </sheetViews>
  <sheetFormatPr baseColWidth="10" defaultColWidth="11.44140625" defaultRowHeight="15.6" x14ac:dyDescent="0.3"/>
  <cols>
    <col min="1" max="1" width="1.5546875" style="1" customWidth="1"/>
    <col min="2" max="2" width="14.109375" style="1" customWidth="1"/>
    <col min="3" max="3" width="2.6640625" style="1" customWidth="1"/>
    <col min="4" max="4" width="24.109375" style="2" customWidth="1"/>
    <col min="5" max="7" width="11.109375" style="2" customWidth="1"/>
    <col min="8" max="8" width="11.33203125" style="2" customWidth="1"/>
    <col min="9" max="9" width="9.5546875" style="3" customWidth="1"/>
    <col min="10" max="10" width="11.6640625" style="3" bestFit="1" customWidth="1"/>
    <col min="11" max="16384" width="11.44140625" style="3"/>
  </cols>
  <sheetData>
    <row r="1" spans="2:12" ht="12" customHeight="1" x14ac:dyDescent="0.3"/>
    <row r="3" spans="2:12" x14ac:dyDescent="0.3">
      <c r="D3" s="2" t="s">
        <v>0</v>
      </c>
      <c r="G3" s="4" t="s">
        <v>1</v>
      </c>
      <c r="H3" s="5">
        <v>45065</v>
      </c>
    </row>
    <row r="4" spans="2:12" ht="31.5" customHeight="1" x14ac:dyDescent="0.3"/>
    <row r="5" spans="2:12" ht="21.75" customHeight="1" x14ac:dyDescent="0.3">
      <c r="B5" s="226" t="s">
        <v>2</v>
      </c>
      <c r="C5" s="226"/>
      <c r="D5" s="226"/>
      <c r="E5" s="226"/>
      <c r="F5" s="226"/>
      <c r="G5" s="226"/>
      <c r="H5" s="226"/>
    </row>
    <row r="6" spans="2:12" ht="19.5" customHeight="1" x14ac:dyDescent="0.3">
      <c r="B6" s="6"/>
      <c r="C6" s="6"/>
      <c r="D6" s="6"/>
      <c r="E6" s="6"/>
      <c r="F6" s="6"/>
      <c r="G6" s="6"/>
      <c r="H6" s="6"/>
    </row>
    <row r="7" spans="2:12" ht="19.5" customHeight="1" x14ac:dyDescent="0.3">
      <c r="B7" s="3"/>
      <c r="C7" s="3"/>
      <c r="D7" s="3"/>
      <c r="E7" s="3"/>
      <c r="F7" s="3"/>
      <c r="H7" s="7"/>
      <c r="I7" s="8"/>
      <c r="J7" s="8"/>
      <c r="K7" s="8"/>
      <c r="L7" s="8"/>
    </row>
    <row r="8" spans="2:12" ht="20.25" customHeight="1" x14ac:dyDescent="0.3">
      <c r="B8" s="9" t="s">
        <v>3</v>
      </c>
      <c r="C8" s="227" t="s">
        <v>4</v>
      </c>
      <c r="D8" s="228"/>
      <c r="E8" s="228"/>
      <c r="F8" s="229"/>
      <c r="H8" s="10"/>
      <c r="I8" s="230"/>
      <c r="J8" s="230"/>
      <c r="K8" s="230"/>
      <c r="L8" s="230"/>
    </row>
    <row r="9" spans="2:12" ht="20.25" customHeight="1" x14ac:dyDescent="0.3">
      <c r="B9" s="9" t="s">
        <v>5</v>
      </c>
      <c r="C9" s="231" t="s">
        <v>6</v>
      </c>
      <c r="D9" s="232"/>
      <c r="E9" s="232"/>
      <c r="F9" s="233"/>
      <c r="H9" s="11"/>
      <c r="I9" s="230"/>
      <c r="J9" s="230"/>
      <c r="K9" s="230"/>
      <c r="L9" s="230"/>
    </row>
    <row r="10" spans="2:12" ht="33.75" customHeight="1" x14ac:dyDescent="0.3">
      <c r="D10" s="12"/>
      <c r="H10" s="7"/>
      <c r="I10" s="8"/>
      <c r="J10" s="8"/>
      <c r="K10" s="13"/>
      <c r="L10" s="8"/>
    </row>
    <row r="11" spans="2:12" ht="30" customHeight="1" x14ac:dyDescent="0.3">
      <c r="C11" s="1">
        <v>1</v>
      </c>
      <c r="D11" s="14" t="s">
        <v>7</v>
      </c>
      <c r="H11" s="7"/>
      <c r="I11" s="8"/>
      <c r="J11" s="8"/>
      <c r="K11" s="13"/>
      <c r="L11" s="8"/>
    </row>
    <row r="12" spans="2:12" ht="30" customHeight="1" x14ac:dyDescent="0.3">
      <c r="C12" s="1">
        <v>2</v>
      </c>
      <c r="D12" s="234" t="s">
        <v>8</v>
      </c>
      <c r="E12" s="234"/>
      <c r="F12" s="234"/>
      <c r="G12" s="234"/>
      <c r="H12" s="234"/>
      <c r="I12" s="8"/>
      <c r="J12" s="8"/>
      <c r="K12" s="13"/>
      <c r="L12" s="8"/>
    </row>
    <row r="13" spans="2:12" ht="30" customHeight="1" x14ac:dyDescent="0.3">
      <c r="C13" s="1">
        <v>3</v>
      </c>
      <c r="D13" s="14" t="s">
        <v>9</v>
      </c>
      <c r="H13" s="7"/>
      <c r="I13" s="8"/>
      <c r="J13" s="8"/>
      <c r="K13" s="13"/>
      <c r="L13" s="8"/>
    </row>
    <row r="14" spans="2:12" ht="30" customHeight="1" x14ac:dyDescent="0.3">
      <c r="C14" s="1">
        <v>4</v>
      </c>
      <c r="D14" s="14" t="s">
        <v>10</v>
      </c>
      <c r="H14" s="7"/>
      <c r="I14" s="8"/>
      <c r="J14" s="8"/>
      <c r="K14" s="13"/>
      <c r="L14" s="8"/>
    </row>
    <row r="15" spans="2:12" ht="30" customHeight="1" x14ac:dyDescent="0.3">
      <c r="C15" s="1">
        <v>5</v>
      </c>
      <c r="D15" s="14" t="s">
        <v>11</v>
      </c>
      <c r="K15" s="15"/>
    </row>
    <row r="16" spans="2:12" ht="23.25" customHeight="1" x14ac:dyDescent="0.3">
      <c r="C16" s="1">
        <v>6</v>
      </c>
      <c r="D16" s="14" t="s">
        <v>12</v>
      </c>
      <c r="K16" s="15"/>
    </row>
    <row r="17" spans="1:12" ht="18.75" customHeight="1" x14ac:dyDescent="0.3">
      <c r="B17" s="16" t="s">
        <v>13</v>
      </c>
      <c r="C17" s="2"/>
    </row>
    <row r="18" spans="1:12" ht="4.5" customHeight="1" x14ac:dyDescent="0.3">
      <c r="B18" s="17"/>
      <c r="C18" s="2"/>
    </row>
    <row r="19" spans="1:12" ht="18.75" customHeight="1" x14ac:dyDescent="0.3">
      <c r="B19" s="18"/>
      <c r="C19" s="19" t="s">
        <v>14</v>
      </c>
      <c r="F19" s="3"/>
      <c r="G19" s="3"/>
      <c r="H19" s="3"/>
    </row>
    <row r="20" spans="1:12" ht="20.25" customHeight="1" x14ac:dyDescent="0.3">
      <c r="D20" s="12"/>
      <c r="K20" s="15"/>
    </row>
    <row r="21" spans="1:12" ht="20.25" customHeight="1" x14ac:dyDescent="0.3"/>
    <row r="22" spans="1:12" ht="18.75" customHeight="1" x14ac:dyDescent="0.3">
      <c r="C22" s="1">
        <v>1</v>
      </c>
      <c r="D22" s="20" t="s">
        <v>15</v>
      </c>
    </row>
    <row r="23" spans="1:12" ht="6.75" customHeight="1" x14ac:dyDescent="0.3"/>
    <row r="24" spans="1:12" ht="11.25" customHeight="1" x14ac:dyDescent="0.3"/>
    <row r="25" spans="1:12" ht="28.5" customHeight="1" thickBot="1" x14ac:dyDescent="0.35">
      <c r="B25" s="21" t="s">
        <v>16</v>
      </c>
      <c r="D25" s="22" t="s">
        <v>17</v>
      </c>
      <c r="E25" s="23" t="s">
        <v>18</v>
      </c>
      <c r="F25" s="23" t="s">
        <v>19</v>
      </c>
      <c r="G25" s="23" t="s">
        <v>20</v>
      </c>
      <c r="H25" s="24" t="s">
        <v>21</v>
      </c>
    </row>
    <row r="26" spans="1:12" ht="18.75" customHeight="1" thickTop="1" x14ac:dyDescent="0.3">
      <c r="B26" s="25">
        <v>500</v>
      </c>
      <c r="D26" s="26">
        <f>ROUND(B26-E26-F26,2)</f>
        <v>434.88</v>
      </c>
      <c r="E26" s="27">
        <f>ROUND(((B26/1.095)/1.05)*0.05,2)</f>
        <v>21.74</v>
      </c>
      <c r="F26" s="27">
        <f>ROUND(((B26/1.095)/1.05)*0.09975,2)</f>
        <v>43.38</v>
      </c>
      <c r="G26" s="28" t="s">
        <v>22</v>
      </c>
      <c r="H26" s="29" t="s">
        <v>22</v>
      </c>
      <c r="L26" s="30"/>
    </row>
    <row r="27" spans="1:12" x14ac:dyDescent="0.3">
      <c r="E27" s="31"/>
      <c r="F27" s="31"/>
      <c r="G27" s="31"/>
      <c r="H27" s="31"/>
    </row>
    <row r="28" spans="1:12" s="38" customFormat="1" ht="43.5" customHeight="1" thickBot="1" x14ac:dyDescent="0.35">
      <c r="A28" s="32"/>
      <c r="B28" s="32"/>
      <c r="C28" s="32"/>
      <c r="D28" s="33" t="s">
        <v>23</v>
      </c>
      <c r="E28" s="34" t="s">
        <v>24</v>
      </c>
      <c r="F28" s="35" t="s">
        <v>25</v>
      </c>
      <c r="G28" s="36"/>
      <c r="H28" s="37"/>
    </row>
    <row r="29" spans="1:12" s="38" customFormat="1" ht="18.75" customHeight="1" thickTop="1" x14ac:dyDescent="0.3">
      <c r="A29" s="32"/>
      <c r="B29" s="32"/>
      <c r="C29" s="32"/>
      <c r="D29" s="39">
        <f>ROUND(B26-E29-F29,2)</f>
        <v>465.04</v>
      </c>
      <c r="E29" s="40">
        <f>ROUND(+E26*0.67,2)</f>
        <v>14.57</v>
      </c>
      <c r="F29" s="41">
        <f>ROUND(+F26*0.47,2)</f>
        <v>20.39</v>
      </c>
      <c r="G29" s="42"/>
      <c r="H29" s="43"/>
      <c r="I29" s="44"/>
    </row>
    <row r="30" spans="1:12" ht="18" customHeight="1" x14ac:dyDescent="0.3"/>
    <row r="31" spans="1:12" ht="15" customHeight="1" x14ac:dyDescent="0.3">
      <c r="F31" s="45"/>
    </row>
    <row r="32" spans="1:12" ht="12.75" customHeight="1" x14ac:dyDescent="0.3"/>
    <row r="33" spans="1:8" ht="30" customHeight="1" x14ac:dyDescent="0.3">
      <c r="C33" s="1">
        <v>2</v>
      </c>
      <c r="D33" s="225" t="s">
        <v>26</v>
      </c>
      <c r="E33" s="225"/>
      <c r="F33" s="225"/>
      <c r="G33" s="225"/>
      <c r="H33" s="225"/>
    </row>
    <row r="34" spans="1:8" x14ac:dyDescent="0.3">
      <c r="D34" s="46"/>
      <c r="E34" s="46"/>
      <c r="F34" s="46"/>
      <c r="G34" s="46"/>
      <c r="H34" s="46"/>
    </row>
    <row r="35" spans="1:8" ht="27.6" thickBot="1" x14ac:dyDescent="0.35">
      <c r="B35" s="21" t="s">
        <v>16</v>
      </c>
      <c r="D35" s="22" t="s">
        <v>17</v>
      </c>
      <c r="E35" s="23" t="s">
        <v>18</v>
      </c>
      <c r="F35" s="23" t="s">
        <v>19</v>
      </c>
      <c r="G35" s="23" t="s">
        <v>20</v>
      </c>
      <c r="H35" s="24" t="s">
        <v>21</v>
      </c>
    </row>
    <row r="36" spans="1:8" ht="16.2" thickTop="1" x14ac:dyDescent="0.3">
      <c r="B36" s="25">
        <v>275</v>
      </c>
      <c r="D36" s="47">
        <f>ROUND(B36-E36,2)</f>
        <v>261.89999999999998</v>
      </c>
      <c r="E36" s="27">
        <f>ROUND((+B36/1.05)*0.05,2)</f>
        <v>13.1</v>
      </c>
      <c r="F36" s="48" t="s">
        <v>22</v>
      </c>
      <c r="G36" s="48" t="s">
        <v>22</v>
      </c>
      <c r="H36" s="49" t="s">
        <v>22</v>
      </c>
    </row>
    <row r="38" spans="1:8" s="38" customFormat="1" ht="54" thickBot="1" x14ac:dyDescent="0.35">
      <c r="A38" s="32"/>
      <c r="B38" s="32"/>
      <c r="C38" s="32"/>
      <c r="D38" s="33" t="s">
        <v>23</v>
      </c>
      <c r="E38" s="34" t="s">
        <v>24</v>
      </c>
      <c r="F38" s="36"/>
      <c r="G38" s="36"/>
      <c r="H38" s="37"/>
    </row>
    <row r="39" spans="1:8" s="38" customFormat="1" ht="16.2" thickTop="1" x14ac:dyDescent="0.3">
      <c r="A39" s="32"/>
      <c r="B39" s="32"/>
      <c r="C39" s="32"/>
      <c r="D39" s="50">
        <f>ROUND(+B36-E39,2)</f>
        <v>266.22000000000003</v>
      </c>
      <c r="E39" s="40">
        <f>ROUND(+E36*0.67,2)</f>
        <v>8.7799999999999994</v>
      </c>
      <c r="F39" s="42"/>
      <c r="G39" s="42"/>
      <c r="H39" s="43"/>
    </row>
    <row r="40" spans="1:8" s="54" customFormat="1" x14ac:dyDescent="0.3">
      <c r="A40" s="51"/>
      <c r="B40" s="51"/>
      <c r="C40" s="51"/>
      <c r="D40" s="52"/>
      <c r="E40" s="53"/>
      <c r="F40" s="53"/>
      <c r="G40" s="53"/>
      <c r="H40" s="53"/>
    </row>
    <row r="41" spans="1:8" s="54" customFormat="1" x14ac:dyDescent="0.3">
      <c r="A41" s="51"/>
      <c r="B41" s="51"/>
      <c r="C41" s="51"/>
      <c r="D41" s="52"/>
      <c r="E41" s="53"/>
      <c r="F41" s="53"/>
      <c r="G41" s="53"/>
      <c r="H41" s="53"/>
    </row>
    <row r="43" spans="1:8" x14ac:dyDescent="0.3">
      <c r="C43" s="1">
        <v>3</v>
      </c>
      <c r="D43" s="20" t="s">
        <v>27</v>
      </c>
    </row>
    <row r="44" spans="1:8" x14ac:dyDescent="0.3">
      <c r="D44" s="55" t="s">
        <v>28</v>
      </c>
    </row>
    <row r="45" spans="1:8" x14ac:dyDescent="0.3">
      <c r="D45" s="56"/>
    </row>
    <row r="46" spans="1:8" ht="27.6" thickBot="1" x14ac:dyDescent="0.35">
      <c r="B46" s="21" t="s">
        <v>16</v>
      </c>
      <c r="D46" s="22" t="s">
        <v>17</v>
      </c>
      <c r="E46" s="23" t="s">
        <v>18</v>
      </c>
      <c r="F46" s="23" t="s">
        <v>19</v>
      </c>
      <c r="G46" s="23" t="s">
        <v>20</v>
      </c>
      <c r="H46" s="24" t="s">
        <v>21</v>
      </c>
    </row>
    <row r="47" spans="1:8" ht="16.2" thickTop="1" x14ac:dyDescent="0.3">
      <c r="B47" s="25">
        <v>500</v>
      </c>
      <c r="D47" s="47">
        <f>ROUND(B47-E47,2)</f>
        <v>476.19</v>
      </c>
      <c r="E47" s="27">
        <f>ROUND((+B47/1.05)*0.05,2)</f>
        <v>23.81</v>
      </c>
      <c r="F47" s="48" t="s">
        <v>22</v>
      </c>
      <c r="G47" s="48" t="s">
        <v>22</v>
      </c>
      <c r="H47" s="57">
        <f>ROUND(+D47*0.09975,2)</f>
        <v>47.5</v>
      </c>
    </row>
    <row r="49" spans="1:8" s="38" customFormat="1" ht="54" thickBot="1" x14ac:dyDescent="0.35">
      <c r="A49" s="32"/>
      <c r="B49" s="32"/>
      <c r="C49" s="32"/>
      <c r="D49" s="33" t="s">
        <v>23</v>
      </c>
      <c r="E49" s="34" t="s">
        <v>24</v>
      </c>
      <c r="F49" s="36"/>
      <c r="G49" s="36"/>
      <c r="H49" s="58" t="s">
        <v>25</v>
      </c>
    </row>
    <row r="50" spans="1:8" s="38" customFormat="1" ht="16.2" thickTop="1" x14ac:dyDescent="0.3">
      <c r="A50" s="32"/>
      <c r="B50" s="32"/>
      <c r="C50" s="32"/>
      <c r="D50" s="50">
        <f>ROUND(+B47-E50-H50+H47,2)</f>
        <v>509.22</v>
      </c>
      <c r="E50" s="40">
        <f>ROUND(+E47*0.67,2)</f>
        <v>15.95</v>
      </c>
      <c r="F50" s="42"/>
      <c r="G50" s="42"/>
      <c r="H50" s="59">
        <f>ROUND(H47*0.47,2)</f>
        <v>22.33</v>
      </c>
    </row>
    <row r="54" spans="1:8" x14ac:dyDescent="0.3">
      <c r="C54" s="1">
        <v>4</v>
      </c>
      <c r="D54" s="20" t="s">
        <v>29</v>
      </c>
    </row>
    <row r="55" spans="1:8" x14ac:dyDescent="0.3">
      <c r="D55" s="55" t="s">
        <v>30</v>
      </c>
    </row>
    <row r="56" spans="1:8" x14ac:dyDescent="0.3">
      <c r="D56" s="56"/>
    </row>
    <row r="57" spans="1:8" ht="27.6" thickBot="1" x14ac:dyDescent="0.35">
      <c r="B57" s="21" t="s">
        <v>16</v>
      </c>
      <c r="D57" s="22" t="s">
        <v>17</v>
      </c>
      <c r="E57" s="23" t="s">
        <v>18</v>
      </c>
      <c r="F57" s="23" t="s">
        <v>19</v>
      </c>
      <c r="G57" s="23" t="s">
        <v>20</v>
      </c>
      <c r="H57" s="24" t="s">
        <v>21</v>
      </c>
    </row>
    <row r="58" spans="1:8" ht="16.2" thickTop="1" x14ac:dyDescent="0.3">
      <c r="B58" s="25">
        <v>100</v>
      </c>
      <c r="D58" s="47">
        <f>ROUND(B58,2)</f>
        <v>100</v>
      </c>
      <c r="E58" s="48" t="s">
        <v>22</v>
      </c>
      <c r="F58" s="48" t="s">
        <v>22</v>
      </c>
      <c r="G58" s="27">
        <f>ROUND(D58*0.05,2)</f>
        <v>5</v>
      </c>
      <c r="H58" s="60" t="s">
        <v>22</v>
      </c>
    </row>
    <row r="60" spans="1:8" s="38" customFormat="1" ht="54" thickBot="1" x14ac:dyDescent="0.35">
      <c r="A60" s="32"/>
      <c r="B60" s="32"/>
      <c r="C60" s="32"/>
      <c r="D60" s="33" t="s">
        <v>23</v>
      </c>
      <c r="E60" s="36"/>
      <c r="F60" s="36"/>
      <c r="G60" s="35" t="s">
        <v>24</v>
      </c>
      <c r="H60" s="37"/>
    </row>
    <row r="61" spans="1:8" s="38" customFormat="1" ht="16.2" thickTop="1" x14ac:dyDescent="0.3">
      <c r="A61" s="32"/>
      <c r="B61" s="32"/>
      <c r="C61" s="32"/>
      <c r="D61" s="50">
        <f>ROUND(+B58-G61+G58,2)</f>
        <v>101.65</v>
      </c>
      <c r="E61" s="42"/>
      <c r="F61" s="42"/>
      <c r="G61" s="61">
        <f>ROUND(G58*0.67,2)</f>
        <v>3.35</v>
      </c>
      <c r="H61" s="43"/>
    </row>
    <row r="62" spans="1:8" x14ac:dyDescent="0.3">
      <c r="E62" s="31"/>
      <c r="F62" s="31"/>
      <c r="G62" s="31"/>
      <c r="H62" s="31"/>
    </row>
    <row r="63" spans="1:8" x14ac:dyDescent="0.3">
      <c r="E63" s="31"/>
      <c r="F63" s="31"/>
      <c r="G63" s="31"/>
      <c r="H63" s="31"/>
    </row>
    <row r="64" spans="1:8" x14ac:dyDescent="0.3">
      <c r="E64" s="62"/>
    </row>
    <row r="65" spans="1:8" x14ac:dyDescent="0.3">
      <c r="C65" s="1">
        <v>5</v>
      </c>
      <c r="D65" s="63" t="s">
        <v>11</v>
      </c>
    </row>
    <row r="66" spans="1:8" x14ac:dyDescent="0.3">
      <c r="D66" s="55" t="s">
        <v>31</v>
      </c>
    </row>
    <row r="67" spans="1:8" x14ac:dyDescent="0.3">
      <c r="D67" s="64"/>
    </row>
    <row r="68" spans="1:8" ht="27.6" thickBot="1" x14ac:dyDescent="0.35">
      <c r="B68" s="21" t="s">
        <v>16</v>
      </c>
      <c r="D68" s="22" t="s">
        <v>17</v>
      </c>
      <c r="E68" s="23" t="s">
        <v>18</v>
      </c>
      <c r="F68" s="23" t="s">
        <v>19</v>
      </c>
      <c r="G68" s="23" t="s">
        <v>20</v>
      </c>
      <c r="H68" s="24" t="s">
        <v>21</v>
      </c>
    </row>
    <row r="69" spans="1:8" ht="16.2" thickTop="1" x14ac:dyDescent="0.3">
      <c r="B69" s="25">
        <v>100</v>
      </c>
      <c r="D69" s="47">
        <f>ROUND(B69,2)</f>
        <v>100</v>
      </c>
      <c r="E69" s="48" t="s">
        <v>22</v>
      </c>
      <c r="F69" s="48" t="s">
        <v>22</v>
      </c>
      <c r="G69" s="27">
        <f>ROUND(D69*0.05,2)</f>
        <v>5</v>
      </c>
      <c r="H69" s="57">
        <f>ROUND(D69*0.09975,2)</f>
        <v>9.98</v>
      </c>
    </row>
    <row r="71" spans="1:8" s="38" customFormat="1" ht="54" thickBot="1" x14ac:dyDescent="0.35">
      <c r="A71" s="32"/>
      <c r="B71" s="32"/>
      <c r="C71" s="32"/>
      <c r="D71" s="33" t="s">
        <v>23</v>
      </c>
      <c r="E71" s="36"/>
      <c r="F71" s="36"/>
      <c r="G71" s="35" t="s">
        <v>24</v>
      </c>
      <c r="H71" s="58" t="s">
        <v>25</v>
      </c>
    </row>
    <row r="72" spans="1:8" s="38" customFormat="1" ht="16.2" thickTop="1" x14ac:dyDescent="0.3">
      <c r="A72" s="32"/>
      <c r="B72" s="32"/>
      <c r="C72" s="32"/>
      <c r="D72" s="50">
        <f>ROUND(+B69+G69+H69-G72-H72,2)</f>
        <v>106.94</v>
      </c>
      <c r="E72" s="42"/>
      <c r="F72" s="42"/>
      <c r="G72" s="61">
        <f>ROUND(G69*0.67,2)</f>
        <v>3.35</v>
      </c>
      <c r="H72" s="59">
        <f>ROUND(H69*0.47,2)</f>
        <v>4.6900000000000004</v>
      </c>
    </row>
    <row r="75" spans="1:8" x14ac:dyDescent="0.3">
      <c r="C75" s="1">
        <v>6</v>
      </c>
      <c r="D75" s="20" t="s">
        <v>32</v>
      </c>
    </row>
    <row r="76" spans="1:8" x14ac:dyDescent="0.3">
      <c r="D76" s="55" t="s">
        <v>121</v>
      </c>
    </row>
    <row r="77" spans="1:8" x14ac:dyDescent="0.3">
      <c r="D77" s="64"/>
    </row>
    <row r="78" spans="1:8" ht="27.6" thickBot="1" x14ac:dyDescent="0.35">
      <c r="B78" s="21" t="s">
        <v>16</v>
      </c>
      <c r="D78" s="22" t="s">
        <v>17</v>
      </c>
      <c r="E78" s="23" t="s">
        <v>18</v>
      </c>
      <c r="F78" s="23" t="s">
        <v>19</v>
      </c>
      <c r="G78" s="23" t="s">
        <v>20</v>
      </c>
      <c r="H78" s="24" t="s">
        <v>21</v>
      </c>
    </row>
    <row r="79" spans="1:8" ht="16.2" thickTop="1" x14ac:dyDescent="0.3">
      <c r="B79" s="25">
        <v>250</v>
      </c>
      <c r="D79" s="47">
        <f>ROUND(B79-F79,2)</f>
        <v>227.32</v>
      </c>
      <c r="E79" s="48" t="s">
        <v>22</v>
      </c>
      <c r="F79" s="27">
        <f>ROUND((B79/1.09975)*0.09975,2)</f>
        <v>22.68</v>
      </c>
      <c r="G79" s="27">
        <f>ROUND(D79*0.05,2)</f>
        <v>11.37</v>
      </c>
      <c r="H79" s="48" t="s">
        <v>22</v>
      </c>
    </row>
    <row r="81" spans="2:8" ht="54" thickBot="1" x14ac:dyDescent="0.35">
      <c r="B81" s="32"/>
      <c r="C81" s="32"/>
      <c r="D81" s="33" t="s">
        <v>23</v>
      </c>
      <c r="E81" s="36"/>
      <c r="F81" s="35" t="s">
        <v>25</v>
      </c>
      <c r="G81" s="35" t="s">
        <v>24</v>
      </c>
      <c r="H81" s="58" t="s">
        <v>25</v>
      </c>
    </row>
    <row r="82" spans="2:8" ht="16.2" thickTop="1" x14ac:dyDescent="0.3">
      <c r="B82" s="32"/>
      <c r="C82" s="32"/>
      <c r="D82" s="50">
        <f>ROUND(+D79+F79+G79-F82-G82,2)</f>
        <v>243.09</v>
      </c>
      <c r="E82" s="42"/>
      <c r="F82" s="41">
        <f>ROUND(+F79*0.47,2)</f>
        <v>10.66</v>
      </c>
      <c r="G82" s="61">
        <f>ROUND(G79*0.67,2)</f>
        <v>7.62</v>
      </c>
      <c r="H82" s="59" t="s">
        <v>22</v>
      </c>
    </row>
    <row r="83" spans="2:8" x14ac:dyDescent="0.3">
      <c r="D83" s="65"/>
    </row>
    <row r="84" spans="2:8" x14ac:dyDescent="0.3">
      <c r="B84" s="66"/>
      <c r="D84" s="67"/>
    </row>
    <row r="85" spans="2:8" x14ac:dyDescent="0.3">
      <c r="B85" s="66"/>
      <c r="D85" s="67"/>
    </row>
    <row r="86" spans="2:8" x14ac:dyDescent="0.3">
      <c r="D86" s="67"/>
    </row>
    <row r="87" spans="2:8" x14ac:dyDescent="0.3">
      <c r="D87" s="68"/>
    </row>
    <row r="88" spans="2:8" x14ac:dyDescent="0.3">
      <c r="D88" s="67"/>
    </row>
    <row r="89" spans="2:8" x14ac:dyDescent="0.3">
      <c r="D89" s="67"/>
    </row>
    <row r="90" spans="2:8" x14ac:dyDescent="0.3">
      <c r="D90" s="67"/>
    </row>
    <row r="91" spans="2:8" x14ac:dyDescent="0.3">
      <c r="D91" s="67"/>
    </row>
    <row r="92" spans="2:8" x14ac:dyDescent="0.3">
      <c r="D92" s="67"/>
    </row>
    <row r="93" spans="2:8" x14ac:dyDescent="0.3">
      <c r="D93" s="67"/>
    </row>
    <row r="94" spans="2:8" x14ac:dyDescent="0.3">
      <c r="D94" s="68"/>
      <c r="E94" s="55"/>
      <c r="F94" s="55"/>
    </row>
    <row r="95" spans="2:8" x14ac:dyDescent="0.3">
      <c r="D95" s="68"/>
      <c r="E95" s="55"/>
      <c r="F95" s="55"/>
    </row>
    <row r="96" spans="2:8" x14ac:dyDescent="0.3">
      <c r="D96" s="68"/>
    </row>
    <row r="97" spans="4:4" x14ac:dyDescent="0.3">
      <c r="D97" s="68"/>
    </row>
    <row r="98" spans="4:4" x14ac:dyDescent="0.3">
      <c r="D98" s="67"/>
    </row>
    <row r="99" spans="4:4" x14ac:dyDescent="0.3">
      <c r="D99" s="67"/>
    </row>
    <row r="100" spans="4:4" x14ac:dyDescent="0.3">
      <c r="D100" s="67"/>
    </row>
    <row r="101" spans="4:4" x14ac:dyDescent="0.3">
      <c r="D101" s="69"/>
    </row>
    <row r="102" spans="4:4" x14ac:dyDescent="0.3">
      <c r="D102" s="69"/>
    </row>
    <row r="112" spans="4:4" x14ac:dyDescent="0.3">
      <c r="D112" s="55"/>
    </row>
    <row r="113" spans="4:4" x14ac:dyDescent="0.3">
      <c r="D113" s="55"/>
    </row>
  </sheetData>
  <sheetProtection algorithmName="SHA-512" hashValue="7oV4mKS/3jIY3aidbm6nR2ZTr5om00VYhvP6oBa4rdtEm1kZ5c7kcE9Q+5gY+1GffVE73XKnqd5aChniD/6Tdw==" saltValue="TyVeEPvJGerGXJ/bUYtZdw==" spinCount="100000" sheet="1" selectLockedCells="1"/>
  <mergeCells count="7">
    <mergeCell ref="D33:H33"/>
    <mergeCell ref="B5:H5"/>
    <mergeCell ref="C8:F8"/>
    <mergeCell ref="I8:L8"/>
    <mergeCell ref="C9:F9"/>
    <mergeCell ref="I9:L9"/>
    <mergeCell ref="D12:H12"/>
  </mergeCells>
  <hyperlinks>
    <hyperlink ref="D11" location="'TVQ 9,5% (2012)'!D22" display="Achats incluant TPS et TVQ  (dépenses courantes au Québec)"/>
    <hyperlink ref="D12:H12" location="'TVQ 9,5% (2012)'!D33" display="Acquisition de livres au Québec et acquisitions dans une autre province canadienne non assujetti à la TVH   (TPS applicable et TVQ non applicable) "/>
    <hyperlink ref="D13" location="'TVQ 9,5% (2012)'!D43" display="Achats avec TPS et autocotisation de la TVQ "/>
    <hyperlink ref="D14" location="'TVQ 9,5% (2012)'!D54" display="Achats avec autocotisation de la TPS seulement "/>
    <hyperlink ref="D15" location="'TVQ 9,5% (2012)'!D65" display="Autocotisation des deux taxes "/>
    <hyperlink ref="D16" location="'TVQ 9,5% (2012)'!D65" display="Autocotisation des deux taxes "/>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2"/>
  <sheetViews>
    <sheetView topLeftCell="A19" zoomScaleNormal="100" workbookViewId="0">
      <selection activeCell="B58" sqref="B58"/>
    </sheetView>
  </sheetViews>
  <sheetFormatPr baseColWidth="10" defaultColWidth="11.44140625" defaultRowHeight="15.6" x14ac:dyDescent="0.3"/>
  <cols>
    <col min="1" max="1" width="1.5546875" style="3" customWidth="1"/>
    <col min="2" max="2" width="16" style="3" customWidth="1"/>
    <col min="3" max="3" width="7.109375" style="1" customWidth="1"/>
    <col min="4" max="4" width="28" style="3" customWidth="1"/>
    <col min="5" max="8" width="13.33203125" style="3" customWidth="1"/>
    <col min="9" max="16384" width="11.44140625" style="3"/>
  </cols>
  <sheetData>
    <row r="1" spans="2:8" x14ac:dyDescent="0.3">
      <c r="D1" s="2"/>
      <c r="E1" s="2"/>
      <c r="F1" s="2"/>
      <c r="G1" s="2"/>
    </row>
    <row r="2" spans="2:8" x14ac:dyDescent="0.3">
      <c r="D2" s="2"/>
      <c r="E2" s="2"/>
      <c r="F2" s="2"/>
      <c r="G2" s="2"/>
    </row>
    <row r="3" spans="2:8" x14ac:dyDescent="0.3">
      <c r="D3" s="237" t="s">
        <v>0</v>
      </c>
      <c r="E3" s="237"/>
      <c r="F3" s="238" t="s">
        <v>1</v>
      </c>
      <c r="G3" s="238"/>
      <c r="H3" s="187">
        <v>45065</v>
      </c>
    </row>
    <row r="4" spans="2:8" ht="16.2" thickBot="1" x14ac:dyDescent="0.35">
      <c r="D4" s="2"/>
      <c r="E4" s="2"/>
      <c r="F4" s="2"/>
      <c r="G4" s="2"/>
    </row>
    <row r="5" spans="2:8" x14ac:dyDescent="0.3">
      <c r="B5" s="239" t="s">
        <v>33</v>
      </c>
      <c r="C5" s="240"/>
      <c r="D5" s="240"/>
      <c r="E5" s="240"/>
      <c r="F5" s="240"/>
      <c r="G5" s="240"/>
      <c r="H5" s="241"/>
    </row>
    <row r="6" spans="2:8" ht="17.399999999999999" thickBot="1" x14ac:dyDescent="0.35">
      <c r="B6" s="242" t="s">
        <v>34</v>
      </c>
      <c r="C6" s="243"/>
      <c r="D6" s="243"/>
      <c r="E6" s="243"/>
      <c r="F6" s="243"/>
      <c r="G6" s="243"/>
      <c r="H6" s="244"/>
    </row>
    <row r="9" spans="2:8" x14ac:dyDescent="0.3">
      <c r="B9" s="19" t="s">
        <v>35</v>
      </c>
    </row>
    <row r="10" spans="2:8" x14ac:dyDescent="0.3">
      <c r="B10" s="19" t="s">
        <v>36</v>
      </c>
    </row>
    <row r="11" spans="2:8" x14ac:dyDescent="0.3">
      <c r="B11" s="19"/>
    </row>
    <row r="12" spans="2:8" x14ac:dyDescent="0.3">
      <c r="B12" s="19" t="s">
        <v>37</v>
      </c>
    </row>
    <row r="13" spans="2:8" x14ac:dyDescent="0.3">
      <c r="B13" s="19" t="s">
        <v>38</v>
      </c>
    </row>
    <row r="14" spans="2:8" x14ac:dyDescent="0.3">
      <c r="B14" s="19" t="s">
        <v>39</v>
      </c>
    </row>
    <row r="16" spans="2:8" ht="14.4" x14ac:dyDescent="0.3">
      <c r="B16" s="245" t="s">
        <v>40</v>
      </c>
      <c r="C16" s="245"/>
      <c r="D16" s="245"/>
      <c r="E16" s="245"/>
      <c r="F16" s="70"/>
      <c r="G16" s="70"/>
    </row>
    <row r="17" spans="2:10" ht="9" customHeight="1" x14ac:dyDescent="0.3">
      <c r="D17" s="71"/>
      <c r="E17" s="71"/>
      <c r="F17" s="71"/>
    </row>
    <row r="18" spans="2:10" ht="63" customHeight="1" thickBot="1" x14ac:dyDescent="0.35">
      <c r="B18" s="235" t="s">
        <v>41</v>
      </c>
      <c r="C18" s="236"/>
      <c r="D18" s="72" t="s">
        <v>42</v>
      </c>
      <c r="E18" s="72" t="s">
        <v>123</v>
      </c>
      <c r="H18" s="73"/>
      <c r="I18" s="73"/>
    </row>
    <row r="19" spans="2:10" ht="19.5" customHeight="1" thickTop="1" x14ac:dyDescent="0.3">
      <c r="B19" s="246" t="s">
        <v>43</v>
      </c>
      <c r="C19" s="247"/>
      <c r="D19" s="74">
        <v>0.05</v>
      </c>
      <c r="E19" s="191">
        <v>0.15</v>
      </c>
      <c r="H19" s="73"/>
      <c r="I19" s="73"/>
      <c r="J19" s="73"/>
    </row>
    <row r="20" spans="2:10" ht="19.5" customHeight="1" x14ac:dyDescent="0.3">
      <c r="B20" s="246" t="s">
        <v>125</v>
      </c>
      <c r="C20" s="247"/>
      <c r="D20" s="74">
        <v>0.05</v>
      </c>
      <c r="E20" s="189">
        <v>0.13</v>
      </c>
      <c r="H20" s="73"/>
      <c r="I20" s="73"/>
    </row>
    <row r="21" spans="2:10" ht="19.5" customHeight="1" x14ac:dyDescent="0.3">
      <c r="B21" s="246" t="s">
        <v>44</v>
      </c>
      <c r="C21" s="247"/>
      <c r="D21" s="74">
        <v>0.05</v>
      </c>
      <c r="E21" s="191">
        <v>0.15</v>
      </c>
      <c r="H21" s="73"/>
      <c r="I21" s="73"/>
    </row>
    <row r="22" spans="2:10" ht="19.5" customHeight="1" x14ac:dyDescent="0.3">
      <c r="B22" s="75" t="s">
        <v>45</v>
      </c>
      <c r="C22" s="76"/>
      <c r="D22" s="74">
        <v>0.05</v>
      </c>
      <c r="E22" s="191">
        <v>0.15</v>
      </c>
      <c r="H22" s="73"/>
      <c r="I22" s="73"/>
    </row>
    <row r="23" spans="2:10" ht="19.5" customHeight="1" x14ac:dyDescent="0.3">
      <c r="B23" s="248" t="s">
        <v>124</v>
      </c>
      <c r="C23" s="249"/>
      <c r="D23" s="77">
        <v>0.05</v>
      </c>
      <c r="E23" s="190">
        <v>0.15</v>
      </c>
      <c r="H23" s="73"/>
      <c r="I23" s="73"/>
    </row>
    <row r="24" spans="2:10" x14ac:dyDescent="0.3">
      <c r="B24" s="78"/>
      <c r="D24" s="78"/>
      <c r="F24" s="79"/>
    </row>
    <row r="25" spans="2:10" x14ac:dyDescent="0.3">
      <c r="F25" s="79"/>
    </row>
    <row r="26" spans="2:10" ht="18.75" customHeight="1" x14ac:dyDescent="0.3">
      <c r="B26" s="16" t="s">
        <v>13</v>
      </c>
      <c r="C26" s="2"/>
      <c r="F26" s="2"/>
      <c r="G26" s="2"/>
    </row>
    <row r="27" spans="2:10" ht="5.25" customHeight="1" x14ac:dyDescent="0.3">
      <c r="B27" s="17"/>
      <c r="C27" s="2"/>
      <c r="F27" s="2"/>
      <c r="G27" s="2"/>
    </row>
    <row r="28" spans="2:10" ht="18.75" customHeight="1" x14ac:dyDescent="0.3">
      <c r="B28" s="18"/>
      <c r="D28" s="19" t="s">
        <v>14</v>
      </c>
      <c r="G28" s="2"/>
    </row>
    <row r="31" spans="2:10" x14ac:dyDescent="0.3">
      <c r="B31" s="250" t="s">
        <v>122</v>
      </c>
      <c r="C31" s="250"/>
      <c r="D31" s="250"/>
      <c r="E31" s="250"/>
      <c r="F31" s="250"/>
      <c r="G31" s="250"/>
      <c r="H31" s="250"/>
    </row>
    <row r="32" spans="2:10" x14ac:dyDescent="0.3">
      <c r="D32" s="80"/>
      <c r="E32" s="80"/>
      <c r="F32" s="80"/>
      <c r="G32" s="80"/>
    </row>
    <row r="33" spans="2:8" x14ac:dyDescent="0.3">
      <c r="C33" s="1">
        <v>1</v>
      </c>
      <c r="D33" s="81" t="s">
        <v>126</v>
      </c>
    </row>
    <row r="35" spans="2:8" ht="27.6" thickBot="1" x14ac:dyDescent="0.35">
      <c r="B35" s="21" t="s">
        <v>47</v>
      </c>
      <c r="D35" s="22" t="s">
        <v>17</v>
      </c>
      <c r="E35" s="23" t="s">
        <v>18</v>
      </c>
      <c r="F35" s="23" t="s">
        <v>19</v>
      </c>
      <c r="G35" s="23" t="s">
        <v>20</v>
      </c>
      <c r="H35" s="24" t="s">
        <v>21</v>
      </c>
    </row>
    <row r="36" spans="2:8" ht="16.2" thickTop="1" x14ac:dyDescent="0.3">
      <c r="B36" s="25">
        <v>500</v>
      </c>
      <c r="D36" s="47">
        <f>ROUND(B36-E36,2)</f>
        <v>477.88</v>
      </c>
      <c r="E36" s="27">
        <f>ROUND((B36/1.13)*0.05,2)</f>
        <v>22.12</v>
      </c>
      <c r="F36" s="48" t="s">
        <v>22</v>
      </c>
      <c r="G36" s="82" t="s">
        <v>22</v>
      </c>
      <c r="H36" s="49" t="s">
        <v>22</v>
      </c>
    </row>
    <row r="37" spans="2:8" x14ac:dyDescent="0.3">
      <c r="D37" s="2"/>
      <c r="E37" s="2"/>
      <c r="F37" s="2"/>
      <c r="G37" s="2"/>
    </row>
    <row r="38" spans="2:8" ht="40.799999999999997" thickBot="1" x14ac:dyDescent="0.35">
      <c r="C38" s="32"/>
      <c r="D38" s="33" t="s">
        <v>23</v>
      </c>
      <c r="E38" s="34" t="s">
        <v>24</v>
      </c>
      <c r="F38" s="36"/>
      <c r="G38" s="36"/>
      <c r="H38" s="37"/>
    </row>
    <row r="39" spans="2:8" ht="16.2" thickTop="1" x14ac:dyDescent="0.3">
      <c r="C39" s="32"/>
      <c r="D39" s="39">
        <f>ROUND(B36-E39,2)</f>
        <v>485.18</v>
      </c>
      <c r="E39" s="40">
        <f>ROUND(+E36*0.67,2)</f>
        <v>14.82</v>
      </c>
      <c r="F39" s="42"/>
      <c r="G39" s="42"/>
      <c r="H39" s="43"/>
    </row>
    <row r="41" spans="2:8" x14ac:dyDescent="0.3">
      <c r="C41" s="1">
        <v>2</v>
      </c>
      <c r="D41" s="81" t="s">
        <v>48</v>
      </c>
    </row>
    <row r="42" spans="2:8" x14ac:dyDescent="0.3">
      <c r="D42" s="83" t="s">
        <v>128</v>
      </c>
    </row>
    <row r="43" spans="2:8" ht="5.25" customHeight="1" x14ac:dyDescent="0.3"/>
    <row r="44" spans="2:8" ht="30" customHeight="1" thickBot="1" x14ac:dyDescent="0.35">
      <c r="B44" s="21" t="s">
        <v>47</v>
      </c>
      <c r="D44" s="22" t="s">
        <v>17</v>
      </c>
      <c r="E44" s="23" t="s">
        <v>18</v>
      </c>
      <c r="F44" s="23" t="s">
        <v>19</v>
      </c>
      <c r="G44" s="23" t="s">
        <v>20</v>
      </c>
      <c r="H44" s="24" t="s">
        <v>21</v>
      </c>
    </row>
    <row r="45" spans="2:8" ht="16.2" thickTop="1" x14ac:dyDescent="0.3">
      <c r="B45" s="25">
        <v>500</v>
      </c>
      <c r="D45" s="47">
        <f>ROUND(B45-E45,2)</f>
        <v>477.88</v>
      </c>
      <c r="E45" s="27">
        <f>ROUND((B45/1.13)*0.05,2)</f>
        <v>22.12</v>
      </c>
      <c r="F45" s="48" t="s">
        <v>22</v>
      </c>
      <c r="G45" s="82" t="s">
        <v>22</v>
      </c>
      <c r="H45" s="84">
        <f>ROUND((B45/1.13)*0.09975,2)</f>
        <v>44.14</v>
      </c>
    </row>
    <row r="46" spans="2:8" x14ac:dyDescent="0.3">
      <c r="D46" s="2"/>
      <c r="E46" s="2"/>
      <c r="F46" s="2"/>
      <c r="G46" s="2"/>
    </row>
    <row r="47" spans="2:8" ht="40.5" customHeight="1" thickBot="1" x14ac:dyDescent="0.35">
      <c r="C47" s="32"/>
      <c r="D47" s="33" t="s">
        <v>23</v>
      </c>
      <c r="E47" s="34" t="s">
        <v>24</v>
      </c>
      <c r="F47" s="36"/>
      <c r="G47" s="36"/>
      <c r="H47" s="58" t="s">
        <v>25</v>
      </c>
    </row>
    <row r="48" spans="2:8" ht="16.2" thickTop="1" x14ac:dyDescent="0.3">
      <c r="C48" s="32"/>
      <c r="D48" s="39">
        <f>ROUND(B45-E48-H48+H45,2)</f>
        <v>508.57</v>
      </c>
      <c r="E48" s="40">
        <f>ROUND(+E45*0.67,2)</f>
        <v>14.82</v>
      </c>
      <c r="F48" s="42"/>
      <c r="G48" s="42"/>
      <c r="H48" s="85">
        <f>ROUND(H45*0.47,2)</f>
        <v>20.75</v>
      </c>
    </row>
    <row r="49" spans="2:8" x14ac:dyDescent="0.3">
      <c r="C49" s="32"/>
      <c r="D49" s="86"/>
      <c r="E49" s="86"/>
      <c r="F49" s="87"/>
      <c r="G49" s="87"/>
      <c r="H49" s="86"/>
    </row>
    <row r="53" spans="2:8" x14ac:dyDescent="0.3">
      <c r="B53" s="188" t="s">
        <v>127</v>
      </c>
      <c r="C53" s="188"/>
      <c r="D53" s="188"/>
      <c r="E53" s="188"/>
      <c r="F53" s="188"/>
      <c r="G53" s="188"/>
      <c r="H53" s="188"/>
    </row>
    <row r="54" spans="2:8" ht="24" customHeight="1" x14ac:dyDescent="0.3">
      <c r="D54" s="80"/>
      <c r="E54" s="80"/>
      <c r="F54" s="80"/>
      <c r="G54" s="80"/>
    </row>
    <row r="55" spans="2:8" x14ac:dyDescent="0.3">
      <c r="C55" s="1">
        <v>5</v>
      </c>
      <c r="D55" s="81" t="s">
        <v>46</v>
      </c>
    </row>
    <row r="56" spans="2:8" ht="5.25" customHeight="1" x14ac:dyDescent="0.3"/>
    <row r="57" spans="2:8" ht="27.6" thickBot="1" x14ac:dyDescent="0.35">
      <c r="B57" s="21" t="s">
        <v>47</v>
      </c>
      <c r="D57" s="22" t="s">
        <v>17</v>
      </c>
      <c r="E57" s="23" t="s">
        <v>18</v>
      </c>
      <c r="F57" s="23" t="s">
        <v>19</v>
      </c>
      <c r="G57" s="23" t="s">
        <v>20</v>
      </c>
      <c r="H57" s="24" t="s">
        <v>21</v>
      </c>
    </row>
    <row r="58" spans="2:8" ht="16.2" thickTop="1" x14ac:dyDescent="0.3">
      <c r="B58" s="25">
        <v>500</v>
      </c>
      <c r="D58" s="47">
        <f>ROUND(B58-E58,2)</f>
        <v>478.26</v>
      </c>
      <c r="E58" s="27">
        <f>ROUND((B58/1.15)*0.05,2)</f>
        <v>21.74</v>
      </c>
      <c r="F58" s="48" t="s">
        <v>22</v>
      </c>
      <c r="G58" s="82" t="s">
        <v>22</v>
      </c>
      <c r="H58" s="49" t="s">
        <v>22</v>
      </c>
    </row>
    <row r="59" spans="2:8" x14ac:dyDescent="0.3">
      <c r="D59" s="2"/>
      <c r="E59" s="2"/>
      <c r="F59" s="2"/>
      <c r="G59" s="2"/>
    </row>
    <row r="60" spans="2:8" ht="40.5" customHeight="1" thickBot="1" x14ac:dyDescent="0.35">
      <c r="C60" s="32"/>
      <c r="D60" s="33" t="s">
        <v>23</v>
      </c>
      <c r="E60" s="34" t="s">
        <v>24</v>
      </c>
      <c r="F60" s="36"/>
      <c r="G60" s="36"/>
      <c r="H60" s="37"/>
    </row>
    <row r="61" spans="2:8" ht="16.2" thickTop="1" x14ac:dyDescent="0.3">
      <c r="C61" s="32"/>
      <c r="D61" s="39">
        <f>ROUND(B58-E61,2)</f>
        <v>485.43</v>
      </c>
      <c r="E61" s="40">
        <f>ROUND(+E58*0.67,2)</f>
        <v>14.57</v>
      </c>
      <c r="F61" s="42"/>
      <c r="G61" s="42"/>
      <c r="H61" s="43"/>
    </row>
    <row r="65" spans="2:8" x14ac:dyDescent="0.3">
      <c r="C65" s="1">
        <v>6</v>
      </c>
      <c r="D65" s="81" t="s">
        <v>48</v>
      </c>
    </row>
    <row r="66" spans="2:8" x14ac:dyDescent="0.3">
      <c r="D66" s="83" t="s">
        <v>129</v>
      </c>
    </row>
    <row r="67" spans="2:8" ht="5.25" customHeight="1" x14ac:dyDescent="0.3"/>
    <row r="68" spans="2:8" ht="29.25" customHeight="1" thickBot="1" x14ac:dyDescent="0.35">
      <c r="B68" s="21" t="s">
        <v>47</v>
      </c>
      <c r="D68" s="22" t="s">
        <v>17</v>
      </c>
      <c r="E68" s="23" t="s">
        <v>18</v>
      </c>
      <c r="F68" s="23" t="s">
        <v>19</v>
      </c>
      <c r="G68" s="23" t="s">
        <v>20</v>
      </c>
      <c r="H68" s="24" t="s">
        <v>21</v>
      </c>
    </row>
    <row r="69" spans="2:8" ht="16.2" thickTop="1" x14ac:dyDescent="0.3">
      <c r="B69" s="25">
        <v>500</v>
      </c>
      <c r="D69" s="47">
        <f>ROUND(B69-E69,2)</f>
        <v>478.26</v>
      </c>
      <c r="E69" s="27">
        <f>ROUND((B69/1.15)*0.05,2)</f>
        <v>21.74</v>
      </c>
      <c r="F69" s="48" t="s">
        <v>22</v>
      </c>
      <c r="G69" s="82" t="s">
        <v>22</v>
      </c>
      <c r="H69" s="84">
        <f>ROUND((B69/1.15)*0.09975,2)</f>
        <v>43.37</v>
      </c>
    </row>
    <row r="70" spans="2:8" x14ac:dyDescent="0.3">
      <c r="D70" s="2"/>
      <c r="E70" s="2"/>
      <c r="F70" s="2"/>
      <c r="G70" s="2"/>
    </row>
    <row r="71" spans="2:8" ht="40.5" customHeight="1" thickBot="1" x14ac:dyDescent="0.35">
      <c r="C71" s="32"/>
      <c r="D71" s="33" t="s">
        <v>23</v>
      </c>
      <c r="E71" s="34" t="s">
        <v>24</v>
      </c>
      <c r="F71" s="36"/>
      <c r="G71" s="36"/>
      <c r="H71" s="58" t="s">
        <v>25</v>
      </c>
    </row>
    <row r="72" spans="2:8" ht="16.2" thickTop="1" x14ac:dyDescent="0.3">
      <c r="C72" s="32"/>
      <c r="D72" s="39">
        <f>ROUND(B69-E72-H72+H69,2)</f>
        <v>508.42</v>
      </c>
      <c r="E72" s="40">
        <f>ROUND(+E69*0.67,2)</f>
        <v>14.57</v>
      </c>
      <c r="F72" s="42"/>
      <c r="G72" s="42"/>
      <c r="H72" s="85">
        <f>ROUND(H69*0.47,2)</f>
        <v>20.38</v>
      </c>
    </row>
  </sheetData>
  <sheetProtection algorithmName="SHA-512" hashValue="CK45wOOyhAQVGG+4BLtFiQjPHdvTPywpfVfK+Ss6i/KSZjn8GIYMd9Y8IYSh2aArGJzJFlKj1e+t9VuV6OGICw==" saltValue="ufMGy9ZOxZPNWIBVuyETKw==" spinCount="100000" sheet="1" objects="1" scenarios="1" selectLockedCells="1"/>
  <mergeCells count="11">
    <mergeCell ref="B19:C19"/>
    <mergeCell ref="B20:C20"/>
    <mergeCell ref="B21:C21"/>
    <mergeCell ref="B23:C23"/>
    <mergeCell ref="B31:H31"/>
    <mergeCell ref="B18:C18"/>
    <mergeCell ref="D3:E3"/>
    <mergeCell ref="F3:G3"/>
    <mergeCell ref="B5:H5"/>
    <mergeCell ref="B6:H6"/>
    <mergeCell ref="B16:E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opLeftCell="A46" workbookViewId="0">
      <selection activeCell="G4" sqref="G4"/>
    </sheetView>
  </sheetViews>
  <sheetFormatPr baseColWidth="10" defaultRowHeight="14.4" x14ac:dyDescent="0.3"/>
  <cols>
    <col min="1" max="1" width="3" style="88" customWidth="1"/>
    <col min="3" max="3" width="12.109375" customWidth="1"/>
    <col min="4" max="4" width="11.44140625" customWidth="1"/>
    <col min="5" max="5" width="17.5546875" customWidth="1"/>
    <col min="6" max="6" width="14.5546875" customWidth="1"/>
    <col min="7" max="7" width="12.88671875" customWidth="1"/>
    <col min="8" max="9" width="3.33203125" customWidth="1"/>
    <col min="10" max="10" width="8.109375" customWidth="1"/>
    <col min="11" max="11" width="39" customWidth="1"/>
    <col min="12" max="12" width="18.33203125" customWidth="1"/>
  </cols>
  <sheetData>
    <row r="1" spans="2:11" ht="21.75" customHeight="1" x14ac:dyDescent="0.3">
      <c r="B1" s="89"/>
      <c r="C1" s="90"/>
      <c r="D1" s="90"/>
      <c r="E1" s="90"/>
      <c r="F1" s="90"/>
    </row>
    <row r="2" spans="2:11" ht="13.5" customHeight="1" x14ac:dyDescent="0.3">
      <c r="B2" s="89"/>
      <c r="C2" s="90"/>
      <c r="D2" s="90"/>
      <c r="E2" s="90"/>
      <c r="F2" s="90"/>
    </row>
    <row r="3" spans="2:11" ht="17.25" customHeight="1" x14ac:dyDescent="0.3">
      <c r="B3" s="89"/>
      <c r="C3" s="90"/>
      <c r="D3" s="90" t="s">
        <v>0</v>
      </c>
      <c r="E3" s="90"/>
      <c r="F3" s="91" t="s">
        <v>1</v>
      </c>
      <c r="G3" s="186">
        <v>45065</v>
      </c>
    </row>
    <row r="4" spans="2:11" ht="26.25" customHeight="1" x14ac:dyDescent="0.3">
      <c r="B4" s="89"/>
      <c r="C4" s="90"/>
      <c r="D4" s="90"/>
      <c r="E4" s="90"/>
      <c r="F4" s="90"/>
    </row>
    <row r="5" spans="2:11" ht="16.8" x14ac:dyDescent="0.3">
      <c r="B5" s="251" t="s">
        <v>49</v>
      </c>
      <c r="C5" s="251"/>
      <c r="D5" s="251"/>
      <c r="E5" s="251"/>
      <c r="F5" s="251"/>
      <c r="G5" s="251"/>
    </row>
    <row r="7" spans="2:11" x14ac:dyDescent="0.3">
      <c r="J7" s="93"/>
      <c r="K7" s="93"/>
    </row>
    <row r="8" spans="2:11" ht="15.6" x14ac:dyDescent="0.3">
      <c r="B8" s="94" t="s">
        <v>50</v>
      </c>
      <c r="C8" s="95"/>
      <c r="D8" s="95"/>
      <c r="E8" s="95"/>
      <c r="J8" s="93"/>
      <c r="K8" s="93"/>
    </row>
    <row r="9" spans="2:11" ht="15.6" x14ac:dyDescent="0.3">
      <c r="B9" s="94" t="s">
        <v>51</v>
      </c>
      <c r="C9" s="95"/>
      <c r="D9" s="95"/>
      <c r="E9" s="95"/>
      <c r="J9" s="96"/>
      <c r="K9" s="96"/>
    </row>
    <row r="10" spans="2:11" ht="24" customHeight="1" x14ac:dyDescent="0.3">
      <c r="J10" s="252"/>
      <c r="K10" s="97"/>
    </row>
    <row r="11" spans="2:11" ht="13.5" customHeight="1" x14ac:dyDescent="0.3">
      <c r="B11" s="98" t="s">
        <v>52</v>
      </c>
      <c r="J11" s="252"/>
      <c r="K11" s="99"/>
    </row>
    <row r="12" spans="2:11" ht="13.5" customHeight="1" x14ac:dyDescent="0.3">
      <c r="B12" s="98" t="s">
        <v>53</v>
      </c>
      <c r="J12" s="252"/>
      <c r="K12" s="100"/>
    </row>
    <row r="13" spans="2:11" ht="13.5" customHeight="1" x14ac:dyDescent="0.3">
      <c r="B13" s="98"/>
      <c r="J13" s="252"/>
      <c r="K13" s="100"/>
    </row>
    <row r="14" spans="2:11" ht="13.5" customHeight="1" x14ac:dyDescent="0.3">
      <c r="B14" s="98" t="s">
        <v>54</v>
      </c>
      <c r="J14" s="252"/>
      <c r="K14" s="100"/>
    </row>
    <row r="15" spans="2:11" ht="13.5" customHeight="1" thickBot="1" x14ac:dyDescent="0.35">
      <c r="B15" s="98"/>
      <c r="J15" s="252"/>
      <c r="K15" s="100"/>
    </row>
    <row r="16" spans="2:11" ht="60.75" customHeight="1" thickBot="1" x14ac:dyDescent="0.35">
      <c r="B16" s="101" t="s">
        <v>55</v>
      </c>
      <c r="C16" s="102" t="s">
        <v>56</v>
      </c>
      <c r="D16" s="103"/>
      <c r="E16" s="101" t="s">
        <v>57</v>
      </c>
      <c r="F16" s="102" t="s">
        <v>58</v>
      </c>
      <c r="J16" s="252"/>
    </row>
    <row r="17" spans="1:11" ht="13.5" customHeight="1" thickBot="1" x14ac:dyDescent="0.35">
      <c r="B17" s="98"/>
      <c r="J17" s="252"/>
      <c r="K17" s="100"/>
    </row>
    <row r="18" spans="1:11" ht="50.25" customHeight="1" thickBot="1" x14ac:dyDescent="0.35">
      <c r="B18" s="101" t="s">
        <v>59</v>
      </c>
      <c r="C18" s="102" t="s">
        <v>60</v>
      </c>
      <c r="J18" s="252"/>
      <c r="K18" s="100"/>
    </row>
    <row r="19" spans="1:11" ht="13.5" customHeight="1" x14ac:dyDescent="0.3">
      <c r="B19" s="98"/>
      <c r="J19" s="252"/>
      <c r="K19" s="100"/>
    </row>
    <row r="20" spans="1:11" ht="13.5" customHeight="1" x14ac:dyDescent="0.3">
      <c r="B20" s="88" t="s">
        <v>61</v>
      </c>
      <c r="C20" s="88"/>
      <c r="D20" s="88"/>
      <c r="E20" s="88"/>
      <c r="J20" s="252"/>
      <c r="K20" s="100"/>
    </row>
    <row r="21" spans="1:11" ht="13.5" customHeight="1" x14ac:dyDescent="0.3">
      <c r="B21" s="104" t="s">
        <v>62</v>
      </c>
      <c r="C21" s="105"/>
      <c r="D21" s="105"/>
      <c r="E21" s="105"/>
      <c r="J21" s="252"/>
      <c r="K21" s="100"/>
    </row>
    <row r="22" spans="1:11" ht="23.25" customHeight="1" x14ac:dyDescent="0.3">
      <c r="J22" s="252"/>
      <c r="K22" s="97"/>
    </row>
    <row r="23" spans="1:11" s="107" customFormat="1" ht="17.25" customHeight="1" x14ac:dyDescent="0.25">
      <c r="A23" s="106"/>
      <c r="B23" s="253" t="s">
        <v>63</v>
      </c>
      <c r="C23" s="254"/>
      <c r="D23" s="254"/>
      <c r="E23" s="254"/>
      <c r="F23" s="254"/>
      <c r="G23" s="255"/>
      <c r="J23" s="252"/>
      <c r="K23" s="108"/>
    </row>
    <row r="24" spans="1:11" s="107" customFormat="1" ht="17.25" customHeight="1" x14ac:dyDescent="0.25">
      <c r="A24" s="106"/>
      <c r="B24" s="253"/>
      <c r="C24" s="254"/>
      <c r="D24" s="254"/>
      <c r="E24" s="254"/>
      <c r="F24" s="254"/>
      <c r="G24" s="255"/>
      <c r="J24" s="252"/>
      <c r="K24" s="108"/>
    </row>
    <row r="25" spans="1:11" s="107" customFormat="1" ht="17.25" customHeight="1" x14ac:dyDescent="0.25">
      <c r="A25" s="106"/>
      <c r="B25" s="109"/>
      <c r="C25" s="110"/>
      <c r="D25" s="110"/>
      <c r="E25" s="110"/>
      <c r="F25" s="110"/>
      <c r="G25" s="111"/>
      <c r="J25" s="252"/>
      <c r="K25" s="108"/>
    </row>
    <row r="26" spans="1:11" ht="9" customHeight="1" x14ac:dyDescent="0.3">
      <c r="B26" s="112"/>
      <c r="G26" s="113"/>
      <c r="J26" s="252"/>
      <c r="K26" s="114"/>
    </row>
    <row r="27" spans="1:11" ht="14.25" customHeight="1" x14ac:dyDescent="0.3">
      <c r="A27" s="115" t="s">
        <v>64</v>
      </c>
      <c r="B27" s="116" t="s">
        <v>65</v>
      </c>
      <c r="G27" s="113"/>
      <c r="J27" s="252"/>
      <c r="K27" s="114"/>
    </row>
    <row r="28" spans="1:11" ht="17.25" customHeight="1" x14ac:dyDescent="0.3">
      <c r="B28" s="116"/>
      <c r="G28" s="113"/>
      <c r="J28" s="252"/>
      <c r="K28" s="114"/>
    </row>
    <row r="29" spans="1:11" ht="14.25" customHeight="1" x14ac:dyDescent="0.3">
      <c r="B29" s="117" t="s">
        <v>66</v>
      </c>
      <c r="C29" s="118"/>
      <c r="D29" s="118"/>
      <c r="E29" s="118"/>
      <c r="G29" s="113"/>
      <c r="J29" s="252"/>
      <c r="K29" s="114"/>
    </row>
    <row r="30" spans="1:11" ht="16.5" customHeight="1" x14ac:dyDescent="0.3">
      <c r="A30" s="119" t="s">
        <v>67</v>
      </c>
      <c r="B30" s="120" t="s">
        <v>68</v>
      </c>
      <c r="C30" s="118"/>
      <c r="D30" s="118"/>
      <c r="E30" s="118"/>
      <c r="G30" s="113"/>
      <c r="J30" s="252"/>
      <c r="K30" s="114"/>
    </row>
    <row r="31" spans="1:11" ht="13.5" customHeight="1" x14ac:dyDescent="0.3">
      <c r="A31" s="119" t="s">
        <v>67</v>
      </c>
      <c r="B31" s="120" t="s">
        <v>69</v>
      </c>
      <c r="C31" s="118"/>
      <c r="D31" s="118"/>
      <c r="E31" s="118"/>
      <c r="G31" s="113"/>
      <c r="J31" s="252"/>
      <c r="K31" s="114"/>
    </row>
    <row r="32" spans="1:11" ht="13.5" customHeight="1" x14ac:dyDescent="0.3">
      <c r="A32" s="119" t="s">
        <v>67</v>
      </c>
      <c r="B32" s="120" t="s">
        <v>70</v>
      </c>
      <c r="C32" s="118"/>
      <c r="D32" s="118"/>
      <c r="E32" s="118"/>
      <c r="G32" s="113"/>
      <c r="J32" s="252"/>
      <c r="K32" s="99"/>
    </row>
    <row r="33" spans="1:11" ht="13.5" customHeight="1" x14ac:dyDescent="0.3">
      <c r="A33" s="119" t="s">
        <v>67</v>
      </c>
      <c r="B33" s="120" t="s">
        <v>71</v>
      </c>
      <c r="C33" s="118"/>
      <c r="D33" s="118"/>
      <c r="E33" s="118"/>
      <c r="G33" s="113"/>
      <c r="J33" s="252"/>
      <c r="K33" s="97"/>
    </row>
    <row r="34" spans="1:11" ht="13.5" customHeight="1" x14ac:dyDescent="0.3">
      <c r="A34" s="119" t="s">
        <v>67</v>
      </c>
      <c r="B34" s="120" t="s">
        <v>72</v>
      </c>
      <c r="C34" s="118"/>
      <c r="D34" s="118"/>
      <c r="E34" s="118"/>
      <c r="G34" s="113"/>
      <c r="J34" s="252"/>
      <c r="K34" s="97"/>
    </row>
    <row r="35" spans="1:11" ht="21.75" customHeight="1" x14ac:dyDescent="0.3">
      <c r="A35" s="119"/>
      <c r="B35" s="116"/>
      <c r="G35" s="113"/>
      <c r="J35" s="252"/>
      <c r="K35" s="97"/>
    </row>
    <row r="36" spans="1:11" ht="15.75" customHeight="1" x14ac:dyDescent="0.3">
      <c r="B36" s="120" t="s">
        <v>73</v>
      </c>
      <c r="G36" s="113"/>
      <c r="J36" s="252"/>
      <c r="K36" s="100"/>
    </row>
    <row r="37" spans="1:11" ht="15.75" customHeight="1" x14ac:dyDescent="0.3">
      <c r="B37" s="120" t="s">
        <v>74</v>
      </c>
      <c r="G37" s="113"/>
      <c r="J37" s="252"/>
      <c r="K37" s="100"/>
    </row>
    <row r="38" spans="1:11" ht="15.75" customHeight="1" x14ac:dyDescent="0.3">
      <c r="B38" s="120"/>
      <c r="G38" s="113"/>
      <c r="J38" s="252"/>
      <c r="K38" s="100"/>
    </row>
    <row r="39" spans="1:11" ht="15.75" customHeight="1" x14ac:dyDescent="0.3">
      <c r="B39" s="120" t="s">
        <v>75</v>
      </c>
      <c r="G39" s="113"/>
      <c r="J39" s="252"/>
      <c r="K39" s="100"/>
    </row>
    <row r="40" spans="1:11" ht="15.75" customHeight="1" x14ac:dyDescent="0.3">
      <c r="B40" s="120" t="s">
        <v>76</v>
      </c>
      <c r="G40" s="113"/>
      <c r="J40" s="252"/>
      <c r="K40" s="100"/>
    </row>
    <row r="41" spans="1:11" ht="15.75" customHeight="1" x14ac:dyDescent="0.3">
      <c r="B41" s="120"/>
      <c r="D41" s="118" t="s">
        <v>77</v>
      </c>
      <c r="G41" s="113"/>
      <c r="J41" s="252"/>
      <c r="K41" s="100"/>
    </row>
    <row r="42" spans="1:11" ht="42.75" customHeight="1" x14ac:dyDescent="0.3">
      <c r="J42" s="252"/>
      <c r="K42" s="100"/>
    </row>
    <row r="43" spans="1:11" s="107" customFormat="1" ht="15" customHeight="1" x14ac:dyDescent="0.25">
      <c r="A43" s="106"/>
      <c r="B43" s="256" t="s">
        <v>78</v>
      </c>
      <c r="C43" s="257"/>
      <c r="D43" s="257"/>
      <c r="E43" s="257"/>
      <c r="F43" s="257"/>
      <c r="G43" s="258"/>
      <c r="J43" s="252"/>
      <c r="K43" s="121"/>
    </row>
    <row r="44" spans="1:11" ht="15.75" customHeight="1" x14ac:dyDescent="0.3">
      <c r="B44" s="259" t="s">
        <v>79</v>
      </c>
      <c r="C44" s="260"/>
      <c r="D44" s="260"/>
      <c r="E44" s="260"/>
      <c r="F44" s="260"/>
      <c r="G44" s="261"/>
      <c r="J44" s="252"/>
      <c r="K44" s="122"/>
    </row>
    <row r="45" spans="1:11" ht="15.75" customHeight="1" x14ac:dyDescent="0.3">
      <c r="B45" s="116"/>
      <c r="C45" s="123"/>
      <c r="D45" s="123"/>
      <c r="E45" s="123"/>
      <c r="F45" s="123"/>
      <c r="G45" s="113"/>
      <c r="J45" s="252"/>
      <c r="K45" s="122"/>
    </row>
    <row r="46" spans="1:11" ht="8.25" customHeight="1" x14ac:dyDescent="0.3">
      <c r="B46" s="124"/>
      <c r="C46" s="123"/>
      <c r="D46" s="123"/>
      <c r="E46" s="123"/>
      <c r="F46" s="123"/>
      <c r="G46" s="113"/>
      <c r="J46" s="252"/>
      <c r="K46" s="122"/>
    </row>
    <row r="47" spans="1:11" ht="13.5" customHeight="1" x14ac:dyDescent="0.3">
      <c r="A47" s="115" t="s">
        <v>64</v>
      </c>
      <c r="B47" s="116" t="s">
        <v>80</v>
      </c>
      <c r="C47" s="123"/>
      <c r="D47" s="123"/>
      <c r="E47" s="123"/>
      <c r="F47" s="123"/>
      <c r="G47" s="113"/>
      <c r="J47" s="252"/>
      <c r="K47" s="125"/>
    </row>
    <row r="48" spans="1:11" ht="13.5" customHeight="1" x14ac:dyDescent="0.3">
      <c r="B48" s="116" t="s">
        <v>81</v>
      </c>
      <c r="C48" s="123"/>
      <c r="D48" s="123"/>
      <c r="E48" s="123"/>
      <c r="F48" s="123"/>
      <c r="G48" s="113"/>
      <c r="J48" s="252"/>
      <c r="K48" s="125"/>
    </row>
    <row r="49" spans="1:7" ht="13.5" customHeight="1" x14ac:dyDescent="0.3">
      <c r="B49" s="112"/>
      <c r="C49" s="123"/>
      <c r="D49" s="123"/>
      <c r="E49" s="123"/>
      <c r="F49" s="123"/>
      <c r="G49" s="113"/>
    </row>
    <row r="50" spans="1:7" ht="13.5" customHeight="1" x14ac:dyDescent="0.3">
      <c r="B50" s="120" t="s">
        <v>82</v>
      </c>
      <c r="C50" s="123"/>
      <c r="D50" s="123"/>
      <c r="E50" s="123"/>
      <c r="F50" s="123"/>
      <c r="G50" s="113"/>
    </row>
    <row r="51" spans="1:7" ht="13.5" customHeight="1" x14ac:dyDescent="0.3">
      <c r="B51" s="120" t="s">
        <v>83</v>
      </c>
      <c r="C51" s="123"/>
      <c r="D51" s="123"/>
      <c r="E51" s="123"/>
      <c r="F51" s="123"/>
      <c r="G51" s="113"/>
    </row>
    <row r="52" spans="1:7" ht="13.5" customHeight="1" x14ac:dyDescent="0.3">
      <c r="B52" s="120" t="s">
        <v>84</v>
      </c>
      <c r="C52" s="123"/>
      <c r="D52" s="123"/>
      <c r="E52" s="123"/>
      <c r="F52" s="123"/>
      <c r="G52" s="113"/>
    </row>
    <row r="53" spans="1:7" ht="13.5" customHeight="1" x14ac:dyDescent="0.3">
      <c r="B53" s="112"/>
      <c r="C53" s="123"/>
      <c r="D53" s="123"/>
      <c r="E53" s="123"/>
      <c r="F53" s="123"/>
      <c r="G53" s="113"/>
    </row>
    <row r="54" spans="1:7" ht="13.5" customHeight="1" x14ac:dyDescent="0.3">
      <c r="A54" s="115" t="s">
        <v>64</v>
      </c>
      <c r="B54" s="116" t="s">
        <v>85</v>
      </c>
      <c r="C54" s="123"/>
      <c r="D54" s="123"/>
      <c r="E54" s="123"/>
      <c r="F54" s="123"/>
      <c r="G54" s="113"/>
    </row>
    <row r="55" spans="1:7" ht="13.5" customHeight="1" x14ac:dyDescent="0.3">
      <c r="B55" s="116" t="s">
        <v>81</v>
      </c>
      <c r="C55" s="123"/>
      <c r="D55" s="123"/>
      <c r="E55" s="123"/>
      <c r="F55" s="123"/>
      <c r="G55" s="113"/>
    </row>
    <row r="56" spans="1:7" x14ac:dyDescent="0.3">
      <c r="B56" s="112"/>
      <c r="C56" s="123"/>
      <c r="D56" s="123"/>
      <c r="E56" s="123"/>
      <c r="F56" s="123"/>
      <c r="G56" s="113"/>
    </row>
    <row r="57" spans="1:7" x14ac:dyDescent="0.3">
      <c r="B57" s="120" t="s">
        <v>86</v>
      </c>
      <c r="C57" s="123"/>
      <c r="D57" s="123"/>
      <c r="E57" s="123"/>
      <c r="F57" s="123"/>
      <c r="G57" s="113"/>
    </row>
    <row r="58" spans="1:7" x14ac:dyDescent="0.3">
      <c r="B58" s="120" t="s">
        <v>87</v>
      </c>
      <c r="C58" s="123"/>
      <c r="D58" s="123"/>
      <c r="E58" s="123"/>
      <c r="F58" s="123"/>
      <c r="G58" s="113"/>
    </row>
    <row r="59" spans="1:7" s="123" customFormat="1" x14ac:dyDescent="0.3">
      <c r="A59" s="126"/>
    </row>
    <row r="60" spans="1:7" s="123" customFormat="1" x14ac:dyDescent="0.3">
      <c r="A60" s="126"/>
      <c r="B60" s="127"/>
    </row>
    <row r="63" spans="1:7" x14ac:dyDescent="0.3">
      <c r="A63" s="115" t="s">
        <v>64</v>
      </c>
      <c r="B63" s="128" t="s">
        <v>88</v>
      </c>
      <c r="C63" s="129"/>
      <c r="D63" s="129"/>
      <c r="E63" s="129"/>
      <c r="F63" s="129"/>
      <c r="G63" s="129"/>
    </row>
    <row r="64" spans="1:7" x14ac:dyDescent="0.3">
      <c r="B64" s="128" t="s">
        <v>89</v>
      </c>
      <c r="C64" s="129"/>
      <c r="D64" s="129"/>
      <c r="E64" s="129"/>
      <c r="F64" s="129"/>
      <c r="G64" s="129"/>
    </row>
    <row r="65" spans="2:2" x14ac:dyDescent="0.3">
      <c r="B65" s="88"/>
    </row>
  </sheetData>
  <mergeCells count="5">
    <mergeCell ref="B5:G5"/>
    <mergeCell ref="J10:J48"/>
    <mergeCell ref="B23:G24"/>
    <mergeCell ref="B43:G43"/>
    <mergeCell ref="B44:G4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
  <sheetViews>
    <sheetView topLeftCell="A10" workbookViewId="0">
      <selection activeCell="B15" sqref="B15"/>
    </sheetView>
  </sheetViews>
  <sheetFormatPr baseColWidth="10" defaultRowHeight="14.4" x14ac:dyDescent="0.3"/>
  <cols>
    <col min="1" max="1" width="2.88671875" customWidth="1"/>
    <col min="2" max="3" width="15.88671875" customWidth="1"/>
    <col min="4" max="4" width="24" customWidth="1"/>
    <col min="5" max="5" width="24.44140625" customWidth="1"/>
    <col min="6" max="6" width="5.88671875" customWidth="1"/>
    <col min="7" max="7" width="12.5546875" customWidth="1"/>
  </cols>
  <sheetData>
    <row r="2" spans="2:7" ht="15.6" x14ac:dyDescent="0.3">
      <c r="C2" s="89"/>
      <c r="D2" s="90"/>
      <c r="E2" s="90"/>
      <c r="F2" s="90"/>
    </row>
    <row r="3" spans="2:7" x14ac:dyDescent="0.3">
      <c r="C3" s="90" t="s">
        <v>0</v>
      </c>
      <c r="E3" s="130" t="s">
        <v>1</v>
      </c>
      <c r="F3" s="91"/>
      <c r="G3" s="186">
        <v>45065</v>
      </c>
    </row>
    <row r="4" spans="2:7" ht="15.6" x14ac:dyDescent="0.3">
      <c r="C4" s="89"/>
      <c r="D4" s="90"/>
      <c r="E4" s="90"/>
      <c r="F4" s="90"/>
    </row>
    <row r="5" spans="2:7" ht="15.6" x14ac:dyDescent="0.3">
      <c r="B5" s="262" t="s">
        <v>90</v>
      </c>
      <c r="C5" s="262"/>
      <c r="D5" s="262"/>
      <c r="E5" s="262"/>
      <c r="F5" s="262"/>
      <c r="G5" s="262"/>
    </row>
    <row r="6" spans="2:7" x14ac:dyDescent="0.3">
      <c r="B6" s="263" t="s">
        <v>91</v>
      </c>
      <c r="C6" s="263"/>
      <c r="D6" s="263"/>
      <c r="E6" s="263"/>
      <c r="F6" s="263"/>
      <c r="G6" s="263"/>
    </row>
    <row r="8" spans="2:7" x14ac:dyDescent="0.3">
      <c r="B8" s="131" t="s">
        <v>13</v>
      </c>
    </row>
    <row r="9" spans="2:7" x14ac:dyDescent="0.3">
      <c r="B9" s="132"/>
    </row>
    <row r="10" spans="2:7" x14ac:dyDescent="0.3">
      <c r="B10" s="133"/>
      <c r="C10" s="103" t="s">
        <v>92</v>
      </c>
      <c r="D10" s="90"/>
    </row>
    <row r="11" spans="2:7" x14ac:dyDescent="0.3">
      <c r="B11" s="90"/>
      <c r="C11" s="90"/>
      <c r="D11" s="90"/>
    </row>
    <row r="12" spans="2:7" x14ac:dyDescent="0.3">
      <c r="B12" s="134" t="s">
        <v>93</v>
      </c>
      <c r="C12" s="90"/>
      <c r="D12" s="90"/>
    </row>
    <row r="13" spans="2:7" x14ac:dyDescent="0.3">
      <c r="B13" s="134"/>
      <c r="C13" s="90"/>
      <c r="D13" s="90"/>
    </row>
    <row r="14" spans="2:7" ht="27.6" thickBot="1" x14ac:dyDescent="0.35">
      <c r="B14" s="135" t="s">
        <v>94</v>
      </c>
      <c r="C14" s="136" t="s">
        <v>95</v>
      </c>
      <c r="D14" s="137" t="s">
        <v>96</v>
      </c>
      <c r="E14" s="138" t="s">
        <v>97</v>
      </c>
    </row>
    <row r="15" spans="2:7" ht="15" thickTop="1" x14ac:dyDescent="0.3">
      <c r="B15" s="139">
        <v>100</v>
      </c>
      <c r="C15" s="140">
        <f>B15*0.05</f>
        <v>5</v>
      </c>
      <c r="D15" s="141">
        <f>B15*0.09975</f>
        <v>9.9750000000000014</v>
      </c>
      <c r="E15" s="142">
        <f>B15+C15+D15</f>
        <v>114.97499999999999</v>
      </c>
    </row>
    <row r="16" spans="2:7" x14ac:dyDescent="0.3">
      <c r="B16" s="90"/>
      <c r="C16" s="143"/>
      <c r="D16" s="90"/>
    </row>
    <row r="17" spans="2:13" ht="40.799999999999997" thickBot="1" x14ac:dyDescent="0.35">
      <c r="B17" s="144"/>
      <c r="C17" s="145" t="s">
        <v>24</v>
      </c>
      <c r="D17" s="146" t="s">
        <v>25</v>
      </c>
      <c r="E17" s="147" t="s">
        <v>23</v>
      </c>
      <c r="J17" s="131"/>
      <c r="K17" s="148"/>
      <c r="L17" s="90"/>
      <c r="M17" s="90"/>
    </row>
    <row r="18" spans="2:13" ht="15" thickTop="1" x14ac:dyDescent="0.3">
      <c r="B18" s="144"/>
      <c r="C18" s="149">
        <f>C15*0.67</f>
        <v>3.35</v>
      </c>
      <c r="D18" s="150">
        <f>D15*0.47</f>
        <v>4.68825</v>
      </c>
      <c r="E18" s="151">
        <f>B15+C15+D15-C18-D18</f>
        <v>106.93675</v>
      </c>
      <c r="J18" s="132"/>
      <c r="K18" s="148"/>
      <c r="L18" s="90"/>
      <c r="M18" s="90"/>
    </row>
    <row r="19" spans="2:13" x14ac:dyDescent="0.3">
      <c r="J19" s="93"/>
      <c r="K19" s="152"/>
      <c r="M19" s="90"/>
    </row>
    <row r="22" spans="2:13" x14ac:dyDescent="0.3">
      <c r="B22" s="134" t="s">
        <v>98</v>
      </c>
    </row>
    <row r="23" spans="2:13" x14ac:dyDescent="0.3">
      <c r="B23" s="134"/>
    </row>
    <row r="24" spans="2:13" ht="27.6" thickBot="1" x14ac:dyDescent="0.35">
      <c r="B24" s="135" t="s">
        <v>94</v>
      </c>
      <c r="C24" s="153" t="s">
        <v>95</v>
      </c>
      <c r="D24" s="138" t="s">
        <v>97</v>
      </c>
    </row>
    <row r="25" spans="2:13" ht="15" thickTop="1" x14ac:dyDescent="0.3">
      <c r="B25" s="154">
        <v>150</v>
      </c>
      <c r="C25" s="155">
        <f>B25*0.05</f>
        <v>7.5</v>
      </c>
      <c r="D25" s="142">
        <f>B25+C25</f>
        <v>157.5</v>
      </c>
    </row>
    <row r="26" spans="2:13" x14ac:dyDescent="0.3">
      <c r="B26" s="90"/>
      <c r="C26" s="143"/>
    </row>
    <row r="27" spans="2:13" ht="54" thickBot="1" x14ac:dyDescent="0.35">
      <c r="B27" s="144"/>
      <c r="C27" s="145" t="s">
        <v>24</v>
      </c>
      <c r="D27" s="33" t="s">
        <v>23</v>
      </c>
    </row>
    <row r="28" spans="2:13" ht="15" thickTop="1" x14ac:dyDescent="0.3">
      <c r="B28" s="144"/>
      <c r="C28" s="149">
        <f>C25*0.67</f>
        <v>5.0250000000000004</v>
      </c>
      <c r="D28" s="151">
        <f>D25-C28</f>
        <v>152.47499999999999</v>
      </c>
    </row>
  </sheetData>
  <sheetProtection algorithmName="SHA-512" hashValue="YUpc0Sb9iODh13R+2SeTJumiNlU0ppGgvflq95NFnIeTInMLNppZPyfyiJwZL/7Tcf62+JyFyt9ugrI1FHk8Fw==" saltValue="uOYbJhew6YhL1BTIlDFscg==" spinCount="100000" sheet="1" objects="1" scenarios="1" selectLockedCells="1"/>
  <mergeCells count="2">
    <mergeCell ref="B5:G5"/>
    <mergeCell ref="B6:G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8"/>
  <sheetViews>
    <sheetView topLeftCell="A119" workbookViewId="0">
      <selection activeCell="B21" sqref="B21"/>
    </sheetView>
  </sheetViews>
  <sheetFormatPr baseColWidth="10" defaultRowHeight="14.4" x14ac:dyDescent="0.3"/>
  <cols>
    <col min="1" max="1" width="2.6640625" customWidth="1"/>
    <col min="2" max="2" width="12.6640625" customWidth="1"/>
    <col min="3" max="3" width="2.44140625" customWidth="1"/>
    <col min="4" max="4" width="24.88671875" customWidth="1"/>
    <col min="7" max="7" width="12.109375" customWidth="1"/>
    <col min="8" max="8" width="11.88671875" customWidth="1"/>
  </cols>
  <sheetData>
    <row r="1" spans="2:10" ht="20.25" customHeight="1" x14ac:dyDescent="0.3"/>
    <row r="2" spans="2:10" ht="13.5" customHeight="1" x14ac:dyDescent="0.3">
      <c r="C2" s="89"/>
      <c r="D2" s="90"/>
      <c r="E2" s="90"/>
      <c r="F2" s="90"/>
    </row>
    <row r="3" spans="2:10" ht="17.25" customHeight="1" x14ac:dyDescent="0.3">
      <c r="C3" s="90" t="s">
        <v>0</v>
      </c>
      <c r="F3" s="130" t="s">
        <v>1</v>
      </c>
      <c r="G3" s="92"/>
      <c r="H3" s="156">
        <v>45065</v>
      </c>
      <c r="I3" s="157"/>
    </row>
    <row r="4" spans="2:10" ht="23.25" customHeight="1" x14ac:dyDescent="0.3">
      <c r="C4" s="89"/>
      <c r="D4" s="90"/>
      <c r="E4" s="90"/>
      <c r="F4" s="90"/>
    </row>
    <row r="5" spans="2:10" ht="20.25" customHeight="1" x14ac:dyDescent="0.3">
      <c r="B5" s="262" t="s">
        <v>99</v>
      </c>
      <c r="C5" s="262"/>
      <c r="D5" s="262"/>
      <c r="E5" s="262"/>
      <c r="F5" s="262"/>
      <c r="G5" s="262"/>
      <c r="H5" s="262"/>
    </row>
    <row r="6" spans="2:10" x14ac:dyDescent="0.3">
      <c r="B6" s="263"/>
      <c r="C6" s="263"/>
      <c r="D6" s="263"/>
      <c r="E6" s="263"/>
      <c r="F6" s="263"/>
      <c r="G6" s="263"/>
    </row>
    <row r="7" spans="2:10" ht="10.5" customHeight="1" x14ac:dyDescent="0.3"/>
    <row r="8" spans="2:10" ht="21.75" customHeight="1" x14ac:dyDescent="0.3">
      <c r="B8" s="118" t="s">
        <v>100</v>
      </c>
    </row>
    <row r="9" spans="2:10" ht="15.75" customHeight="1" x14ac:dyDescent="0.3">
      <c r="B9" s="118" t="s">
        <v>101</v>
      </c>
    </row>
    <row r="10" spans="2:10" ht="21.75" customHeight="1" x14ac:dyDescent="0.3">
      <c r="B10" s="158" t="s">
        <v>133</v>
      </c>
      <c r="C10" s="158"/>
      <c r="D10" s="158"/>
      <c r="E10" s="158"/>
      <c r="F10" s="158"/>
      <c r="G10" s="158"/>
      <c r="H10" s="158"/>
      <c r="I10" s="3"/>
      <c r="J10" s="3"/>
    </row>
    <row r="11" spans="2:10" ht="21.75" customHeight="1" x14ac:dyDescent="0.3"/>
    <row r="12" spans="2:10" ht="17.25" customHeight="1" x14ac:dyDescent="0.3">
      <c r="B12" s="131" t="s">
        <v>13</v>
      </c>
    </row>
    <row r="13" spans="2:10" ht="4.5" customHeight="1" x14ac:dyDescent="0.3">
      <c r="B13" s="132"/>
    </row>
    <row r="14" spans="2:10" ht="13.5" customHeight="1" x14ac:dyDescent="0.3">
      <c r="B14" s="133"/>
      <c r="C14" s="103" t="s">
        <v>102</v>
      </c>
      <c r="D14" s="90"/>
    </row>
    <row r="15" spans="2:10" ht="39" customHeight="1" x14ac:dyDescent="0.3">
      <c r="B15" s="264" t="s">
        <v>134</v>
      </c>
      <c r="C15" s="264"/>
      <c r="D15" s="264"/>
      <c r="E15" s="264"/>
      <c r="F15" s="264"/>
      <c r="G15" s="264"/>
      <c r="H15" s="264"/>
    </row>
    <row r="16" spans="2:10" ht="17.399999999999999" customHeight="1" x14ac:dyDescent="0.3">
      <c r="B16" s="265" t="s">
        <v>135</v>
      </c>
      <c r="C16" s="265"/>
      <c r="D16" s="265"/>
      <c r="E16" s="265"/>
      <c r="F16" s="265"/>
      <c r="G16" s="265"/>
      <c r="H16" s="265"/>
    </row>
    <row r="17" spans="2:8" ht="6.6" customHeight="1" x14ac:dyDescent="0.3">
      <c r="B17" s="90"/>
      <c r="C17" s="90"/>
      <c r="D17" s="90"/>
    </row>
    <row r="18" spans="2:8" ht="18.600000000000001" customHeight="1" x14ac:dyDescent="0.3">
      <c r="B18" s="134" t="s">
        <v>103</v>
      </c>
      <c r="C18" s="90"/>
      <c r="D18" s="90"/>
    </row>
    <row r="19" spans="2:8" ht="10.8" customHeight="1" x14ac:dyDescent="0.3">
      <c r="B19" s="134"/>
      <c r="C19" s="90"/>
      <c r="D19" s="90"/>
    </row>
    <row r="20" spans="2:8" ht="39" customHeight="1" thickBot="1" x14ac:dyDescent="0.35">
      <c r="B20" s="21" t="s">
        <v>104</v>
      </c>
      <c r="C20" s="193"/>
      <c r="D20" s="22" t="s">
        <v>105</v>
      </c>
      <c r="E20" s="23" t="s">
        <v>18</v>
      </c>
      <c r="F20" s="23" t="s">
        <v>106</v>
      </c>
      <c r="G20" s="23" t="s">
        <v>20</v>
      </c>
      <c r="H20" s="24" t="s">
        <v>21</v>
      </c>
    </row>
    <row r="21" spans="2:8" ht="17.399999999999999" customHeight="1" thickTop="1" x14ac:dyDescent="0.3">
      <c r="B21" s="159">
        <v>250</v>
      </c>
      <c r="C21" s="193"/>
      <c r="D21" s="47">
        <f>((B21*0.57)/1.095)/1.05</f>
        <v>123.93998695368558</v>
      </c>
      <c r="E21" s="27">
        <f>D21*0.05</f>
        <v>6.1969993476842795</v>
      </c>
      <c r="F21" s="27">
        <f>D21*0.09975</f>
        <v>12.363013698630137</v>
      </c>
      <c r="G21" s="48" t="s">
        <v>22</v>
      </c>
      <c r="H21" s="60" t="s">
        <v>22</v>
      </c>
    </row>
    <row r="22" spans="2:8" ht="7.8" customHeight="1" x14ac:dyDescent="0.3">
      <c r="B22" s="193"/>
      <c r="C22" s="193"/>
      <c r="D22" s="2"/>
      <c r="E22" s="2"/>
      <c r="F22" s="2"/>
      <c r="G22" s="2"/>
      <c r="H22" s="2"/>
    </row>
    <row r="23" spans="2:8" ht="39" customHeight="1" thickBot="1" x14ac:dyDescent="0.35">
      <c r="B23" s="160" t="s">
        <v>107</v>
      </c>
      <c r="C23" s="32"/>
      <c r="D23" s="33" t="s">
        <v>23</v>
      </c>
      <c r="E23" s="34" t="s">
        <v>24</v>
      </c>
      <c r="F23" s="35" t="s">
        <v>25</v>
      </c>
      <c r="G23" s="36"/>
      <c r="H23" s="37"/>
    </row>
    <row r="24" spans="2:8" ht="22.2" customHeight="1" thickTop="1" x14ac:dyDescent="0.3">
      <c r="B24" s="161">
        <f>B21*0.57</f>
        <v>142.5</v>
      </c>
      <c r="C24" s="32"/>
      <c r="D24" s="50">
        <f>D21+E21+F21-E24-F24</f>
        <v>132.53739399869536</v>
      </c>
      <c r="E24" s="40">
        <f>+E21*0.67</f>
        <v>4.1519895629484678</v>
      </c>
      <c r="F24" s="41">
        <f>+F21*0.47</f>
        <v>5.8106164383561643</v>
      </c>
      <c r="G24" s="42"/>
      <c r="H24" s="43"/>
    </row>
    <row r="25" spans="2:8" ht="22.2" customHeight="1" x14ac:dyDescent="0.3">
      <c r="B25" s="194"/>
      <c r="C25" s="32"/>
      <c r="D25" s="86"/>
      <c r="E25" s="86"/>
      <c r="F25" s="86"/>
      <c r="G25" s="87"/>
      <c r="H25" s="87"/>
    </row>
    <row r="26" spans="2:8" ht="22.2" customHeight="1" x14ac:dyDescent="0.3">
      <c r="B26" s="194"/>
      <c r="C26" s="32"/>
      <c r="D26" s="86"/>
      <c r="E26" s="86"/>
      <c r="F26" s="86"/>
      <c r="G26" s="87"/>
      <c r="H26" s="87"/>
    </row>
    <row r="27" spans="2:8" ht="11.4" customHeight="1" x14ac:dyDescent="0.3"/>
    <row r="28" spans="2:8" ht="20.399999999999999" customHeight="1" x14ac:dyDescent="0.3">
      <c r="B28" s="134" t="s">
        <v>108</v>
      </c>
      <c r="C28" s="90"/>
      <c r="D28" s="90"/>
    </row>
    <row r="29" spans="2:8" ht="9.6" customHeight="1" x14ac:dyDescent="0.3">
      <c r="B29" s="134"/>
      <c r="C29" s="90"/>
      <c r="D29" s="90"/>
    </row>
    <row r="30" spans="2:8" ht="39" customHeight="1" thickBot="1" x14ac:dyDescent="0.35">
      <c r="B30" s="21" t="s">
        <v>104</v>
      </c>
      <c r="C30" s="193"/>
      <c r="D30" s="22" t="s">
        <v>105</v>
      </c>
      <c r="E30" s="23" t="s">
        <v>18</v>
      </c>
      <c r="F30" s="23" t="s">
        <v>106</v>
      </c>
      <c r="G30" s="23" t="s">
        <v>20</v>
      </c>
      <c r="H30" s="24" t="s">
        <v>21</v>
      </c>
    </row>
    <row r="31" spans="2:8" ht="15" customHeight="1" thickTop="1" x14ac:dyDescent="0.3">
      <c r="B31" s="159">
        <v>500</v>
      </c>
      <c r="C31" s="193"/>
      <c r="D31" s="47">
        <f>((B31*0.57)/1.05)</f>
        <v>271.42857142857144</v>
      </c>
      <c r="E31" s="27">
        <f>D31*0.05</f>
        <v>13.571428571428573</v>
      </c>
      <c r="F31" s="48" t="s">
        <v>22</v>
      </c>
      <c r="G31" s="48" t="s">
        <v>22</v>
      </c>
      <c r="H31" s="60" t="s">
        <v>22</v>
      </c>
    </row>
    <row r="32" spans="2:8" ht="10.8" customHeight="1" x14ac:dyDescent="0.3">
      <c r="B32" s="193"/>
      <c r="C32" s="193"/>
      <c r="D32" s="2"/>
      <c r="E32" s="2"/>
      <c r="F32" s="2"/>
      <c r="G32" s="2"/>
      <c r="H32" s="2"/>
    </row>
    <row r="33" spans="2:8" ht="39" customHeight="1" thickBot="1" x14ac:dyDescent="0.35">
      <c r="B33" s="160" t="s">
        <v>107</v>
      </c>
      <c r="C33" s="32"/>
      <c r="D33" s="33" t="s">
        <v>23</v>
      </c>
      <c r="E33" s="34" t="s">
        <v>24</v>
      </c>
      <c r="F33" s="36"/>
      <c r="G33" s="36"/>
      <c r="H33" s="37"/>
    </row>
    <row r="34" spans="2:8" ht="21.6" customHeight="1" thickTop="1" x14ac:dyDescent="0.3">
      <c r="B34" s="161">
        <f>B31*0.57</f>
        <v>285</v>
      </c>
      <c r="C34" s="32"/>
      <c r="D34" s="50">
        <f>D31+E31-E34</f>
        <v>275.90714285714284</v>
      </c>
      <c r="E34" s="40">
        <f>+E31*0.67</f>
        <v>9.0928571428571452</v>
      </c>
      <c r="F34" s="42"/>
      <c r="G34" s="42"/>
      <c r="H34" s="43"/>
    </row>
    <row r="35" spans="2:8" ht="6.6" customHeight="1" x14ac:dyDescent="0.3">
      <c r="B35" s="192"/>
      <c r="C35" s="192"/>
      <c r="D35" s="192"/>
      <c r="E35" s="192"/>
      <c r="F35" s="192"/>
      <c r="G35" s="192"/>
      <c r="H35" s="192"/>
    </row>
    <row r="36" spans="2:8" ht="39" customHeight="1" x14ac:dyDescent="0.3">
      <c r="B36" s="192"/>
      <c r="C36" s="192"/>
      <c r="D36" s="192"/>
      <c r="E36" s="192"/>
      <c r="F36" s="192"/>
      <c r="G36" s="192"/>
      <c r="H36" s="192"/>
    </row>
    <row r="37" spans="2:8" ht="17.399999999999999" customHeight="1" x14ac:dyDescent="0.3">
      <c r="B37" s="265" t="s">
        <v>136</v>
      </c>
      <c r="C37" s="265"/>
      <c r="D37" s="265"/>
      <c r="E37" s="265"/>
      <c r="F37" s="265"/>
      <c r="G37" s="265"/>
      <c r="H37" s="265"/>
    </row>
    <row r="38" spans="2:8" ht="18.600000000000001" customHeight="1" x14ac:dyDescent="0.3"/>
    <row r="39" spans="2:8" ht="17.399999999999999" customHeight="1" x14ac:dyDescent="0.3">
      <c r="B39" s="134" t="s">
        <v>103</v>
      </c>
      <c r="C39" s="90"/>
      <c r="D39" s="90"/>
    </row>
    <row r="40" spans="2:8" ht="7.2" customHeight="1" x14ac:dyDescent="0.3">
      <c r="B40" s="134"/>
      <c r="C40" s="90"/>
      <c r="D40" s="90"/>
    </row>
    <row r="41" spans="2:8" ht="39" customHeight="1" thickBot="1" x14ac:dyDescent="0.35">
      <c r="B41" s="21" t="s">
        <v>104</v>
      </c>
      <c r="C41" s="193"/>
      <c r="D41" s="22" t="s">
        <v>105</v>
      </c>
      <c r="E41" s="23" t="s">
        <v>18</v>
      </c>
      <c r="F41" s="23" t="s">
        <v>106</v>
      </c>
      <c r="G41" s="23" t="s">
        <v>20</v>
      </c>
      <c r="H41" s="24" t="s">
        <v>21</v>
      </c>
    </row>
    <row r="42" spans="2:8" ht="14.4" customHeight="1" thickTop="1" x14ac:dyDescent="0.3">
      <c r="B42" s="159">
        <v>250</v>
      </c>
      <c r="C42" s="193"/>
      <c r="D42" s="47">
        <f>((B42*0.7)/1.095)/1.05</f>
        <v>152.20700152207002</v>
      </c>
      <c r="E42" s="27">
        <f>D42*0.05</f>
        <v>7.6103500761035008</v>
      </c>
      <c r="F42" s="27">
        <f>D42*0.09975</f>
        <v>15.182648401826485</v>
      </c>
      <c r="G42" s="48" t="s">
        <v>22</v>
      </c>
      <c r="H42" s="60" t="s">
        <v>22</v>
      </c>
    </row>
    <row r="43" spans="2:8" ht="14.4" customHeight="1" x14ac:dyDescent="0.3">
      <c r="B43" s="193"/>
      <c r="C43" s="193"/>
      <c r="D43" s="2"/>
      <c r="E43" s="2"/>
      <c r="F43" s="2"/>
      <c r="G43" s="2"/>
      <c r="H43" s="2"/>
    </row>
    <row r="44" spans="2:8" ht="39" customHeight="1" thickBot="1" x14ac:dyDescent="0.35">
      <c r="B44" s="160" t="s">
        <v>107</v>
      </c>
      <c r="C44" s="32"/>
      <c r="D44" s="33" t="s">
        <v>23</v>
      </c>
      <c r="E44" s="34" t="s">
        <v>24</v>
      </c>
      <c r="F44" s="35" t="s">
        <v>25</v>
      </c>
      <c r="G44" s="36"/>
      <c r="H44" s="37"/>
    </row>
    <row r="45" spans="2:8" ht="27" customHeight="1" thickTop="1" x14ac:dyDescent="0.3">
      <c r="B45" s="161">
        <f>B42*0.7</f>
        <v>175</v>
      </c>
      <c r="C45" s="32"/>
      <c r="D45" s="50">
        <f>D42+E42+F42-E45-F45</f>
        <v>162.76522070015218</v>
      </c>
      <c r="E45" s="40">
        <f>+E42*0.67</f>
        <v>5.0989345509893456</v>
      </c>
      <c r="F45" s="41">
        <f>+F42*0.47</f>
        <v>7.1358447488584478</v>
      </c>
      <c r="G45" s="42"/>
      <c r="H45" s="43"/>
    </row>
    <row r="46" spans="2:8" ht="17.399999999999999" customHeight="1" x14ac:dyDescent="0.3">
      <c r="B46" s="194"/>
      <c r="C46" s="32"/>
      <c r="D46" s="86"/>
      <c r="E46" s="86"/>
      <c r="F46" s="86"/>
      <c r="G46" s="87"/>
      <c r="H46" s="87"/>
    </row>
    <row r="47" spans="2:8" ht="13.8" customHeight="1" x14ac:dyDescent="0.3">
      <c r="B47" s="194"/>
      <c r="C47" s="32"/>
      <c r="D47" s="86"/>
      <c r="E47" s="86"/>
      <c r="F47" s="86"/>
      <c r="G47" s="87"/>
      <c r="H47" s="87"/>
    </row>
    <row r="48" spans="2:8" ht="8.4" customHeight="1" x14ac:dyDescent="0.3"/>
    <row r="49" spans="2:8" ht="15.6" customHeight="1" x14ac:dyDescent="0.3">
      <c r="B49" s="134" t="s">
        <v>108</v>
      </c>
      <c r="C49" s="90"/>
      <c r="D49" s="90"/>
    </row>
    <row r="50" spans="2:8" ht="6.6" customHeight="1" x14ac:dyDescent="0.3">
      <c r="B50" s="134"/>
      <c r="C50" s="90"/>
      <c r="D50" s="90"/>
    </row>
    <row r="51" spans="2:8" ht="39" customHeight="1" thickBot="1" x14ac:dyDescent="0.35">
      <c r="B51" s="21" t="s">
        <v>104</v>
      </c>
      <c r="C51" s="193"/>
      <c r="D51" s="22" t="s">
        <v>105</v>
      </c>
      <c r="E51" s="23" t="s">
        <v>18</v>
      </c>
      <c r="F51" s="23" t="s">
        <v>106</v>
      </c>
      <c r="G51" s="23" t="s">
        <v>20</v>
      </c>
      <c r="H51" s="24" t="s">
        <v>21</v>
      </c>
    </row>
    <row r="52" spans="2:8" ht="14.4" customHeight="1" thickTop="1" x14ac:dyDescent="0.3">
      <c r="B52" s="159">
        <v>250</v>
      </c>
      <c r="C52" s="193"/>
      <c r="D52" s="47">
        <f>((B52*0.7)/1.05)</f>
        <v>166.66666666666666</v>
      </c>
      <c r="E52" s="27">
        <f>D52*0.05</f>
        <v>8.3333333333333339</v>
      </c>
      <c r="F52" s="48" t="s">
        <v>22</v>
      </c>
      <c r="G52" s="48" t="s">
        <v>22</v>
      </c>
      <c r="H52" s="60" t="s">
        <v>22</v>
      </c>
    </row>
    <row r="53" spans="2:8" ht="15" customHeight="1" x14ac:dyDescent="0.3">
      <c r="B53" s="193"/>
      <c r="C53" s="193"/>
      <c r="D53" s="2"/>
      <c r="E53" s="2"/>
      <c r="F53" s="2"/>
      <c r="G53" s="2"/>
      <c r="H53" s="2"/>
    </row>
    <row r="54" spans="2:8" ht="39" customHeight="1" thickBot="1" x14ac:dyDescent="0.35">
      <c r="B54" s="160" t="s">
        <v>107</v>
      </c>
      <c r="C54" s="32"/>
      <c r="D54" s="33" t="s">
        <v>23</v>
      </c>
      <c r="E54" s="34" t="s">
        <v>24</v>
      </c>
      <c r="F54" s="36"/>
      <c r="G54" s="36"/>
      <c r="H54" s="37"/>
    </row>
    <row r="55" spans="2:8" ht="19.8" customHeight="1" thickTop="1" x14ac:dyDescent="0.3">
      <c r="B55" s="161">
        <f>B52*0.7</f>
        <v>175</v>
      </c>
      <c r="C55" s="32"/>
      <c r="D55" s="50">
        <f>D52+E52-E55</f>
        <v>169.41666666666666</v>
      </c>
      <c r="E55" s="40">
        <f>+E52*0.67</f>
        <v>5.5833333333333339</v>
      </c>
      <c r="F55" s="42"/>
      <c r="G55" s="42"/>
      <c r="H55" s="43"/>
    </row>
    <row r="56" spans="2:8" ht="28.8" customHeight="1" x14ac:dyDescent="0.3">
      <c r="B56" s="192"/>
      <c r="C56" s="192"/>
      <c r="D56" s="192"/>
      <c r="E56" s="192"/>
      <c r="F56" s="192"/>
      <c r="G56" s="192"/>
      <c r="H56" s="192"/>
    </row>
    <row r="57" spans="2:8" ht="39" customHeight="1" x14ac:dyDescent="0.3">
      <c r="B57" s="266" t="s">
        <v>130</v>
      </c>
      <c r="C57" s="266"/>
      <c r="D57" s="266"/>
      <c r="E57" s="266"/>
      <c r="F57" s="266"/>
      <c r="G57" s="266"/>
      <c r="H57" s="266"/>
    </row>
    <row r="58" spans="2:8" ht="18" customHeight="1" x14ac:dyDescent="0.3">
      <c r="B58" s="265" t="s">
        <v>131</v>
      </c>
      <c r="C58" s="265"/>
      <c r="D58" s="265"/>
      <c r="E58" s="265"/>
      <c r="F58" s="265"/>
      <c r="G58" s="265"/>
      <c r="H58" s="265"/>
    </row>
    <row r="59" spans="2:8" ht="18" customHeight="1" x14ac:dyDescent="0.3">
      <c r="B59" s="90"/>
      <c r="C59" s="90"/>
      <c r="D59" s="90"/>
    </row>
    <row r="60" spans="2:8" ht="17.25" customHeight="1" x14ac:dyDescent="0.3">
      <c r="B60" s="134" t="s">
        <v>103</v>
      </c>
      <c r="C60" s="90"/>
      <c r="D60" s="90"/>
    </row>
    <row r="61" spans="2:8" ht="6.75" customHeight="1" x14ac:dyDescent="0.3">
      <c r="B61" s="134"/>
      <c r="C61" s="90"/>
      <c r="D61" s="90"/>
    </row>
    <row r="62" spans="2:8" ht="28.5" customHeight="1" thickBot="1" x14ac:dyDescent="0.35">
      <c r="B62" s="21" t="s">
        <v>104</v>
      </c>
      <c r="C62" s="1"/>
      <c r="D62" s="22" t="s">
        <v>105</v>
      </c>
      <c r="E62" s="23" t="s">
        <v>18</v>
      </c>
      <c r="F62" s="23" t="s">
        <v>106</v>
      </c>
      <c r="G62" s="23" t="s">
        <v>20</v>
      </c>
      <c r="H62" s="24" t="s">
        <v>21</v>
      </c>
    </row>
    <row r="63" spans="2:8" ht="16.2" thickTop="1" x14ac:dyDescent="0.3">
      <c r="B63" s="159">
        <v>250</v>
      </c>
      <c r="C63" s="1"/>
      <c r="D63" s="47">
        <f>((B63*0.52)/1.095)/1.05</f>
        <v>113.06805827353773</v>
      </c>
      <c r="E63" s="27">
        <f>D63*0.05</f>
        <v>5.6534029136768869</v>
      </c>
      <c r="F63" s="27">
        <f>D63*0.09975</f>
        <v>11.278538812785389</v>
      </c>
      <c r="G63" s="48" t="s">
        <v>22</v>
      </c>
      <c r="H63" s="60" t="s">
        <v>22</v>
      </c>
    </row>
    <row r="64" spans="2:8" ht="15.6" x14ac:dyDescent="0.3">
      <c r="B64" s="1"/>
      <c r="C64" s="1"/>
      <c r="D64" s="2"/>
      <c r="E64" s="2"/>
      <c r="F64" s="2"/>
      <c r="G64" s="2"/>
      <c r="H64" s="2"/>
    </row>
    <row r="65" spans="2:13" ht="40.5" customHeight="1" thickBot="1" x14ac:dyDescent="0.35">
      <c r="B65" s="160" t="s">
        <v>107</v>
      </c>
      <c r="C65" s="32"/>
      <c r="D65" s="33" t="s">
        <v>23</v>
      </c>
      <c r="E65" s="34" t="s">
        <v>24</v>
      </c>
      <c r="F65" s="35" t="s">
        <v>25</v>
      </c>
      <c r="G65" s="36"/>
      <c r="H65" s="37"/>
      <c r="J65" s="131"/>
      <c r="K65" s="148"/>
      <c r="L65" s="90"/>
      <c r="M65" s="90"/>
    </row>
    <row r="66" spans="2:13" ht="16.2" thickTop="1" x14ac:dyDescent="0.3">
      <c r="B66" s="161">
        <f>B63*0.52</f>
        <v>130</v>
      </c>
      <c r="C66" s="32"/>
      <c r="D66" s="50">
        <f>D63+E63+F63-E66-F66</f>
        <v>120.91130680582735</v>
      </c>
      <c r="E66" s="40">
        <f>+E63*0.67</f>
        <v>3.7877799521635143</v>
      </c>
      <c r="F66" s="41">
        <f>+F63*0.47</f>
        <v>5.3009132420091323</v>
      </c>
      <c r="G66" s="42"/>
      <c r="H66" s="43"/>
      <c r="J66" s="132"/>
      <c r="K66" s="148"/>
      <c r="L66" s="90"/>
      <c r="M66" s="90"/>
    </row>
    <row r="67" spans="2:13" x14ac:dyDescent="0.3">
      <c r="J67" s="93"/>
      <c r="K67" s="152"/>
      <c r="M67" s="90"/>
    </row>
    <row r="70" spans="2:13" x14ac:dyDescent="0.3">
      <c r="B70" s="134" t="s">
        <v>108</v>
      </c>
      <c r="C70" s="90"/>
      <c r="D70" s="90"/>
    </row>
    <row r="71" spans="2:13" x14ac:dyDescent="0.3">
      <c r="B71" s="134"/>
      <c r="C71" s="90"/>
      <c r="D71" s="90"/>
    </row>
    <row r="72" spans="2:13" ht="28.5" customHeight="1" thickBot="1" x14ac:dyDescent="0.35">
      <c r="B72" s="21" t="s">
        <v>104</v>
      </c>
      <c r="C72" s="1"/>
      <c r="D72" s="22" t="s">
        <v>105</v>
      </c>
      <c r="E72" s="23" t="s">
        <v>18</v>
      </c>
      <c r="F72" s="23" t="s">
        <v>106</v>
      </c>
      <c r="G72" s="23" t="s">
        <v>20</v>
      </c>
      <c r="H72" s="24" t="s">
        <v>21</v>
      </c>
    </row>
    <row r="73" spans="2:13" ht="16.2" thickTop="1" x14ac:dyDescent="0.3">
      <c r="B73" s="159">
        <v>333</v>
      </c>
      <c r="C73" s="1"/>
      <c r="D73" s="47">
        <f>((B73*0.52)/1.05)</f>
        <v>164.91428571428571</v>
      </c>
      <c r="E73" s="27">
        <f>D73*0.05</f>
        <v>8.2457142857142856</v>
      </c>
      <c r="F73" s="48" t="s">
        <v>22</v>
      </c>
      <c r="G73" s="48" t="s">
        <v>22</v>
      </c>
      <c r="H73" s="60" t="s">
        <v>22</v>
      </c>
    </row>
    <row r="74" spans="2:13" ht="15.6" x14ac:dyDescent="0.3">
      <c r="B74" s="1"/>
      <c r="C74" s="1"/>
      <c r="D74" s="2"/>
      <c r="E74" s="2"/>
      <c r="F74" s="2"/>
      <c r="G74" s="2"/>
      <c r="H74" s="2"/>
    </row>
    <row r="75" spans="2:13" ht="40.5" customHeight="1" thickBot="1" x14ac:dyDescent="0.35">
      <c r="B75" s="160" t="s">
        <v>107</v>
      </c>
      <c r="C75" s="32"/>
      <c r="D75" s="33" t="s">
        <v>23</v>
      </c>
      <c r="E75" s="34" t="s">
        <v>24</v>
      </c>
      <c r="F75" s="36"/>
      <c r="G75" s="36"/>
      <c r="H75" s="37"/>
    </row>
    <row r="76" spans="2:13" ht="16.2" thickTop="1" x14ac:dyDescent="0.3">
      <c r="B76" s="161">
        <f>B73*0.52</f>
        <v>173.16</v>
      </c>
      <c r="C76" s="32"/>
      <c r="D76" s="50">
        <f>D73+E73-E76</f>
        <v>167.63537142857143</v>
      </c>
      <c r="E76" s="40">
        <f>+E73*0.67</f>
        <v>5.5246285714285719</v>
      </c>
      <c r="F76" s="42"/>
      <c r="G76" s="42"/>
      <c r="H76" s="43"/>
    </row>
    <row r="77" spans="2:13" ht="12.75" hidden="1" customHeight="1" x14ac:dyDescent="0.3"/>
    <row r="78" spans="2:13" ht="12.75" hidden="1" customHeight="1" x14ac:dyDescent="0.3"/>
    <row r="79" spans="2:13" ht="12.75" hidden="1" customHeight="1" x14ac:dyDescent="0.3"/>
    <row r="80" spans="2:13" ht="12.75" hidden="1" customHeight="1" x14ac:dyDescent="0.3">
      <c r="B80" s="134" t="s">
        <v>109</v>
      </c>
      <c r="C80" s="90"/>
      <c r="D80" s="90"/>
    </row>
    <row r="81" spans="2:8" ht="12.75" hidden="1" customHeight="1" x14ac:dyDescent="0.3">
      <c r="B81" s="134"/>
      <c r="C81" s="90"/>
      <c r="D81" s="90"/>
    </row>
    <row r="82" spans="2:8" ht="28.5" hidden="1" customHeight="1" x14ac:dyDescent="0.3">
      <c r="B82" s="21" t="s">
        <v>110</v>
      </c>
      <c r="C82" s="1"/>
      <c r="D82" s="22" t="s">
        <v>105</v>
      </c>
      <c r="E82" s="23" t="s">
        <v>18</v>
      </c>
      <c r="F82" s="23" t="s">
        <v>111</v>
      </c>
      <c r="G82" s="23" t="s">
        <v>20</v>
      </c>
      <c r="H82" s="24" t="s">
        <v>21</v>
      </c>
    </row>
    <row r="83" spans="2:8" ht="16.5" hidden="1" customHeight="1" x14ac:dyDescent="0.3">
      <c r="B83" s="25">
        <v>1000</v>
      </c>
      <c r="C83" s="1"/>
      <c r="D83" s="47">
        <f>(B83*0.43)</f>
        <v>430</v>
      </c>
      <c r="E83" s="48" t="s">
        <v>22</v>
      </c>
      <c r="F83" s="48" t="s">
        <v>22</v>
      </c>
      <c r="G83" s="48" t="s">
        <v>22</v>
      </c>
      <c r="H83" s="60" t="s">
        <v>22</v>
      </c>
    </row>
    <row r="84" spans="2:8" ht="15.75" hidden="1" customHeight="1" x14ac:dyDescent="0.3">
      <c r="B84" s="1"/>
      <c r="C84" s="1"/>
      <c r="D84" s="2"/>
      <c r="E84" s="2"/>
      <c r="F84" s="2"/>
      <c r="G84" s="2"/>
      <c r="H84" s="2"/>
    </row>
    <row r="85" spans="2:8" ht="40.5" hidden="1" customHeight="1" x14ac:dyDescent="0.3">
      <c r="B85" s="160" t="s">
        <v>107</v>
      </c>
      <c r="C85" s="32"/>
      <c r="D85" s="162" t="s">
        <v>112</v>
      </c>
      <c r="E85" s="36"/>
      <c r="F85" s="36"/>
      <c r="G85" s="36"/>
      <c r="H85" s="37"/>
    </row>
    <row r="86" spans="2:8" ht="16.5" hidden="1" customHeight="1" x14ac:dyDescent="0.3">
      <c r="B86" s="161">
        <f>B83*0.43</f>
        <v>430</v>
      </c>
      <c r="C86" s="32"/>
      <c r="D86" s="50">
        <f>D83</f>
        <v>430</v>
      </c>
      <c r="E86" s="42"/>
      <c r="F86" s="42"/>
      <c r="G86" s="42"/>
      <c r="H86" s="43"/>
    </row>
    <row r="88" spans="2:8" ht="39.75" customHeight="1" x14ac:dyDescent="0.3"/>
    <row r="90" spans="2:8" x14ac:dyDescent="0.3">
      <c r="B90" s="265" t="s">
        <v>132</v>
      </c>
      <c r="C90" s="265"/>
      <c r="D90" s="265"/>
      <c r="E90" s="265"/>
      <c r="F90" s="265"/>
      <c r="G90" s="265"/>
      <c r="H90" s="265"/>
    </row>
    <row r="91" spans="2:8" ht="18" customHeight="1" x14ac:dyDescent="0.3"/>
    <row r="92" spans="2:8" ht="17.25" customHeight="1" x14ac:dyDescent="0.3">
      <c r="B92" s="134" t="s">
        <v>103</v>
      </c>
      <c r="C92" s="90"/>
      <c r="D92" s="90"/>
    </row>
    <row r="93" spans="2:8" ht="6.75" customHeight="1" x14ac:dyDescent="0.3">
      <c r="B93" s="134"/>
      <c r="C93" s="90"/>
      <c r="D93" s="90"/>
    </row>
    <row r="94" spans="2:8" ht="28.5" customHeight="1" thickBot="1" x14ac:dyDescent="0.35">
      <c r="B94" s="21" t="s">
        <v>104</v>
      </c>
      <c r="C94" s="1"/>
      <c r="D94" s="22" t="s">
        <v>105</v>
      </c>
      <c r="E94" s="23" t="s">
        <v>18</v>
      </c>
      <c r="F94" s="23" t="s">
        <v>106</v>
      </c>
      <c r="G94" s="23" t="s">
        <v>20</v>
      </c>
      <c r="H94" s="24" t="s">
        <v>21</v>
      </c>
    </row>
    <row r="95" spans="2:8" ht="16.2" thickTop="1" x14ac:dyDescent="0.3">
      <c r="B95" s="159">
        <v>25</v>
      </c>
      <c r="C95" s="1"/>
      <c r="D95" s="47">
        <f>((B95*0.64)/1.095)/1.05</f>
        <v>13.91606871058926</v>
      </c>
      <c r="E95" s="27">
        <f>D95*0.05</f>
        <v>0.695803435529463</v>
      </c>
      <c r="F95" s="27">
        <f>D95*0.09975</f>
        <v>1.3881278538812787</v>
      </c>
      <c r="G95" s="48" t="s">
        <v>22</v>
      </c>
      <c r="H95" s="60" t="s">
        <v>22</v>
      </c>
    </row>
    <row r="96" spans="2:8" ht="15.6" x14ac:dyDescent="0.3">
      <c r="B96" s="1"/>
      <c r="C96" s="1"/>
      <c r="D96" s="2"/>
      <c r="E96" s="2"/>
      <c r="F96" s="2"/>
      <c r="G96" s="2"/>
      <c r="H96" s="2"/>
    </row>
    <row r="97" spans="2:13" ht="40.5" customHeight="1" thickBot="1" x14ac:dyDescent="0.35">
      <c r="B97" s="160" t="s">
        <v>107</v>
      </c>
      <c r="C97" s="32"/>
      <c r="D97" s="33" t="s">
        <v>23</v>
      </c>
      <c r="E97" s="34" t="s">
        <v>24</v>
      </c>
      <c r="F97" s="35" t="s">
        <v>25</v>
      </c>
      <c r="G97" s="36"/>
      <c r="H97" s="37"/>
      <c r="J97" s="131"/>
      <c r="K97" s="148"/>
      <c r="L97" s="90"/>
      <c r="M97" s="90"/>
    </row>
    <row r="98" spans="2:13" ht="16.2" thickTop="1" x14ac:dyDescent="0.3">
      <c r="B98" s="161">
        <f>B95*0.64</f>
        <v>16</v>
      </c>
      <c r="C98" s="32"/>
      <c r="D98" s="50">
        <f>D95+E95+F95-E98-F98</f>
        <v>14.881391606871059</v>
      </c>
      <c r="E98" s="40">
        <f>+E95*0.67</f>
        <v>0.46618830180474025</v>
      </c>
      <c r="F98" s="41">
        <f>+F95*0.47</f>
        <v>0.65242009132420098</v>
      </c>
      <c r="G98" s="42"/>
      <c r="H98" s="43"/>
      <c r="J98" s="132"/>
      <c r="K98" s="148"/>
      <c r="L98" s="90"/>
      <c r="M98" s="90"/>
    </row>
    <row r="99" spans="2:13" x14ac:dyDescent="0.3">
      <c r="J99" s="93"/>
      <c r="K99" s="152"/>
      <c r="M99" s="90"/>
    </row>
    <row r="102" spans="2:13" x14ac:dyDescent="0.3">
      <c r="B102" s="134" t="s">
        <v>108</v>
      </c>
      <c r="C102" s="90"/>
      <c r="D102" s="90"/>
    </row>
    <row r="103" spans="2:13" x14ac:dyDescent="0.3">
      <c r="B103" s="134"/>
      <c r="C103" s="90"/>
      <c r="D103" s="90"/>
    </row>
    <row r="104" spans="2:13" ht="28.5" customHeight="1" thickBot="1" x14ac:dyDescent="0.35">
      <c r="B104" s="21" t="s">
        <v>104</v>
      </c>
      <c r="C104" s="1"/>
      <c r="D104" s="22" t="s">
        <v>105</v>
      </c>
      <c r="E104" s="23" t="s">
        <v>18</v>
      </c>
      <c r="F104" s="23" t="s">
        <v>106</v>
      </c>
      <c r="G104" s="23" t="s">
        <v>20</v>
      </c>
      <c r="H104" s="24" t="s">
        <v>21</v>
      </c>
    </row>
    <row r="105" spans="2:13" ht="16.2" thickTop="1" x14ac:dyDescent="0.3">
      <c r="B105" s="159">
        <v>250</v>
      </c>
      <c r="C105" s="1"/>
      <c r="D105" s="47">
        <f>((B105*0.64)/1.05)</f>
        <v>152.38095238095238</v>
      </c>
      <c r="E105" s="27">
        <f>D105*0.05</f>
        <v>7.6190476190476195</v>
      </c>
      <c r="F105" s="48" t="s">
        <v>22</v>
      </c>
      <c r="G105" s="48" t="s">
        <v>22</v>
      </c>
      <c r="H105" s="60" t="s">
        <v>22</v>
      </c>
    </row>
    <row r="106" spans="2:13" ht="15.6" x14ac:dyDescent="0.3">
      <c r="B106" s="1"/>
      <c r="C106" s="1"/>
      <c r="D106" s="2"/>
      <c r="E106" s="2"/>
      <c r="F106" s="2"/>
      <c r="G106" s="2"/>
      <c r="H106" s="2"/>
    </row>
    <row r="107" spans="2:13" ht="40.5" customHeight="1" thickBot="1" x14ac:dyDescent="0.35">
      <c r="B107" s="160" t="s">
        <v>107</v>
      </c>
      <c r="C107" s="32"/>
      <c r="D107" s="33" t="s">
        <v>23</v>
      </c>
      <c r="E107" s="34" t="s">
        <v>24</v>
      </c>
      <c r="F107" s="36"/>
      <c r="G107" s="36"/>
      <c r="H107" s="37"/>
    </row>
    <row r="108" spans="2:13" ht="16.2" thickTop="1" x14ac:dyDescent="0.3">
      <c r="B108" s="161">
        <f>B105*0.64</f>
        <v>160</v>
      </c>
      <c r="C108" s="32"/>
      <c r="D108" s="50">
        <f>D105+E105-E108</f>
        <v>154.89523809523808</v>
      </c>
      <c r="E108" s="40">
        <f>+E105*0.67</f>
        <v>5.1047619047619053</v>
      </c>
      <c r="F108" s="42"/>
      <c r="G108" s="42"/>
      <c r="H108" s="43"/>
    </row>
    <row r="109" spans="2:13" hidden="1" x14ac:dyDescent="0.3"/>
    <row r="110" spans="2:13" hidden="1" x14ac:dyDescent="0.3"/>
    <row r="111" spans="2:13" hidden="1" x14ac:dyDescent="0.3"/>
    <row r="112" spans="2:13" hidden="1" x14ac:dyDescent="0.3">
      <c r="B112" s="134" t="s">
        <v>109</v>
      </c>
      <c r="C112" s="90"/>
      <c r="D112" s="90"/>
    </row>
    <row r="113" spans="2:8" hidden="1" x14ac:dyDescent="0.3">
      <c r="B113" s="134"/>
      <c r="C113" s="90"/>
      <c r="D113" s="90"/>
    </row>
    <row r="114" spans="2:8" ht="28.5" hidden="1" customHeight="1" x14ac:dyDescent="0.3">
      <c r="B114" s="21" t="s">
        <v>110</v>
      </c>
      <c r="C114" s="1"/>
      <c r="D114" s="22" t="s">
        <v>105</v>
      </c>
      <c r="E114" s="23" t="s">
        <v>18</v>
      </c>
      <c r="F114" s="23" t="s">
        <v>111</v>
      </c>
      <c r="G114" s="23" t="s">
        <v>20</v>
      </c>
      <c r="H114" s="24" t="s">
        <v>21</v>
      </c>
    </row>
    <row r="115" spans="2:8" ht="16.2" hidden="1" thickTop="1" x14ac:dyDescent="0.3">
      <c r="B115" s="25">
        <v>1000</v>
      </c>
      <c r="C115" s="1"/>
      <c r="D115" s="47">
        <f>(B115*0.53)</f>
        <v>530</v>
      </c>
      <c r="E115" s="48" t="s">
        <v>22</v>
      </c>
      <c r="F115" s="48" t="s">
        <v>22</v>
      </c>
      <c r="G115" s="48" t="s">
        <v>22</v>
      </c>
      <c r="H115" s="60" t="s">
        <v>22</v>
      </c>
    </row>
    <row r="116" spans="2:8" ht="15.6" hidden="1" x14ac:dyDescent="0.3">
      <c r="B116" s="1"/>
      <c r="C116" s="1"/>
      <c r="D116" s="2"/>
      <c r="E116" s="2"/>
      <c r="F116" s="2"/>
      <c r="G116" s="2"/>
      <c r="H116" s="2"/>
    </row>
    <row r="117" spans="2:8" ht="40.5" hidden="1" customHeight="1" x14ac:dyDescent="0.3">
      <c r="B117" s="160" t="s">
        <v>107</v>
      </c>
      <c r="C117" s="32"/>
      <c r="D117" s="162" t="s">
        <v>112</v>
      </c>
      <c r="E117" s="36"/>
      <c r="F117" s="36"/>
      <c r="G117" s="36"/>
      <c r="H117" s="37"/>
    </row>
    <row r="118" spans="2:8" ht="15.6" hidden="1" x14ac:dyDescent="0.3">
      <c r="B118" s="161">
        <f>B115*0.53</f>
        <v>530</v>
      </c>
      <c r="C118" s="32"/>
      <c r="D118" s="50">
        <f>D115</f>
        <v>530</v>
      </c>
      <c r="E118" s="42"/>
      <c r="F118" s="42"/>
      <c r="G118" s="42"/>
      <c r="H118" s="43"/>
    </row>
  </sheetData>
  <sheetProtection algorithmName="SHA-512" hashValue="TgqBkzrVNHcD2TMbox2hKJj8cMJXNySA8O2N1xAX4FzQBAWAoWJZL6uJ4jNtYwGBvnzKUTVtDz6c9+279G0xYw==" saltValue="Fl1qUdSwB/LyMMLqDqAT9A==" spinCount="100000" sheet="1" objects="1" scenarios="1" selectLockedCells="1"/>
  <mergeCells count="8">
    <mergeCell ref="B5:H5"/>
    <mergeCell ref="B6:G6"/>
    <mergeCell ref="B15:H15"/>
    <mergeCell ref="B58:H58"/>
    <mergeCell ref="B90:H90"/>
    <mergeCell ref="B57:H57"/>
    <mergeCell ref="B16:H16"/>
    <mergeCell ref="B37:H3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3"/>
  <sheetViews>
    <sheetView topLeftCell="A10" workbookViewId="0">
      <selection activeCell="B15" sqref="B15"/>
    </sheetView>
  </sheetViews>
  <sheetFormatPr baseColWidth="10" defaultRowHeight="14.4" x14ac:dyDescent="0.3"/>
  <cols>
    <col min="1" max="1" width="3.44140625" style="164" customWidth="1"/>
    <col min="2" max="2" width="17.88671875" customWidth="1"/>
    <col min="3" max="3" width="8" customWidth="1"/>
    <col min="4" max="4" width="21.88671875" customWidth="1"/>
    <col min="7" max="7" width="6.44140625" customWidth="1"/>
    <col min="9" max="9" width="12.44140625" bestFit="1" customWidth="1"/>
  </cols>
  <sheetData>
    <row r="1" spans="1:9" x14ac:dyDescent="0.3">
      <c r="A1"/>
    </row>
    <row r="2" spans="1:9" ht="15.6" x14ac:dyDescent="0.3">
      <c r="A2"/>
      <c r="C2" s="89"/>
      <c r="D2" s="90"/>
      <c r="E2" s="90"/>
      <c r="F2" s="90"/>
    </row>
    <row r="3" spans="1:9" x14ac:dyDescent="0.3">
      <c r="A3"/>
      <c r="C3" s="90" t="s">
        <v>0</v>
      </c>
      <c r="F3" s="130"/>
      <c r="G3" s="163" t="s">
        <v>1</v>
      </c>
      <c r="I3" s="186">
        <v>45065</v>
      </c>
    </row>
    <row r="4" spans="1:9" ht="15.6" x14ac:dyDescent="0.3">
      <c r="A4"/>
      <c r="C4" s="89"/>
      <c r="D4" s="90"/>
      <c r="E4" s="90"/>
      <c r="F4" s="90"/>
    </row>
    <row r="5" spans="1:9" ht="15.75" customHeight="1" x14ac:dyDescent="0.3">
      <c r="B5" s="267" t="s">
        <v>113</v>
      </c>
      <c r="C5" s="267"/>
      <c r="D5" s="267"/>
      <c r="E5" s="267"/>
      <c r="F5" s="267"/>
      <c r="G5" s="1"/>
    </row>
    <row r="6" spans="1:9" ht="15.75" customHeight="1" x14ac:dyDescent="0.3">
      <c r="B6" s="267"/>
      <c r="C6" s="267"/>
      <c r="D6" s="267"/>
      <c r="E6" s="267"/>
      <c r="F6" s="267"/>
      <c r="G6" s="1"/>
    </row>
    <row r="7" spans="1:9" ht="15.75" customHeight="1" x14ac:dyDescent="0.3">
      <c r="B7" s="1"/>
      <c r="C7" s="1"/>
      <c r="D7" s="1"/>
    </row>
    <row r="8" spans="1:9" x14ac:dyDescent="0.3">
      <c r="B8" s="268" t="s">
        <v>114</v>
      </c>
      <c r="C8" s="268"/>
      <c r="D8" s="268"/>
      <c r="E8" s="268"/>
      <c r="F8" s="268"/>
      <c r="G8" s="165"/>
    </row>
    <row r="9" spans="1:9" x14ac:dyDescent="0.3">
      <c r="B9" s="268"/>
      <c r="C9" s="268"/>
      <c r="D9" s="268"/>
      <c r="E9" s="268"/>
      <c r="F9" s="268"/>
      <c r="G9" s="165"/>
    </row>
    <row r="10" spans="1:9" x14ac:dyDescent="0.3">
      <c r="B10" s="268"/>
      <c r="C10" s="268"/>
      <c r="D10" s="268"/>
      <c r="E10" s="268"/>
      <c r="F10" s="268"/>
      <c r="G10" s="165"/>
    </row>
    <row r="11" spans="1:9" x14ac:dyDescent="0.3">
      <c r="B11" s="165"/>
      <c r="C11" s="165"/>
      <c r="D11" s="165"/>
      <c r="E11" s="165"/>
      <c r="F11" s="165"/>
      <c r="G11" s="165"/>
    </row>
    <row r="12" spans="1:9" ht="15.6" x14ac:dyDescent="0.3">
      <c r="B12" s="1"/>
      <c r="C12" s="1"/>
      <c r="D12" s="2"/>
    </row>
    <row r="13" spans="1:9" ht="25.2" thickBot="1" x14ac:dyDescent="0.35">
      <c r="C13" s="1"/>
      <c r="D13" s="22" t="s">
        <v>115</v>
      </c>
    </row>
    <row r="14" spans="1:9" ht="16.2" thickTop="1" x14ac:dyDescent="0.3">
      <c r="C14" s="1"/>
      <c r="D14" s="166">
        <v>250</v>
      </c>
    </row>
    <row r="15" spans="1:9" ht="15.6" x14ac:dyDescent="0.3">
      <c r="B15" s="167"/>
      <c r="C15" s="1"/>
      <c r="D15" s="168"/>
    </row>
    <row r="16" spans="1:9" ht="15.6" x14ac:dyDescent="0.3">
      <c r="B16" s="167"/>
      <c r="C16" s="1"/>
      <c r="D16" s="168"/>
    </row>
    <row r="17" spans="1:49" ht="27.6" thickBot="1" x14ac:dyDescent="0.35">
      <c r="B17" s="21" t="s">
        <v>116</v>
      </c>
      <c r="C17" s="1"/>
      <c r="D17" s="22" t="s">
        <v>117</v>
      </c>
      <c r="E17" s="169" t="s">
        <v>18</v>
      </c>
      <c r="F17" s="24" t="s">
        <v>106</v>
      </c>
      <c r="G17" s="170"/>
    </row>
    <row r="18" spans="1:49" ht="15" thickTop="1" x14ac:dyDescent="0.3">
      <c r="B18" s="171">
        <f>ROUND(D14*1.07516826535312,2)</f>
        <v>268.79000000000002</v>
      </c>
      <c r="C18" s="103"/>
      <c r="D18" s="172">
        <f>B18-E18-F18</f>
        <v>233.78000000000003</v>
      </c>
      <c r="E18" s="172">
        <f>ROUND(((B18/1.095)/1.05)*0.05,2)</f>
        <v>11.69</v>
      </c>
      <c r="F18" s="173">
        <f>ROUND(((B18/1.095)/1.05)*0.09975,2)</f>
        <v>23.32</v>
      </c>
      <c r="G18" s="174"/>
      <c r="H18" s="175" t="s">
        <v>118</v>
      </c>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row>
    <row r="19" spans="1:49" x14ac:dyDescent="0.3">
      <c r="D19" s="176"/>
      <c r="E19" s="176"/>
      <c r="F19" s="176"/>
      <c r="G19" s="176"/>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row>
    <row r="20" spans="1:49" s="178" customFormat="1" ht="53.4" thickBot="1" x14ac:dyDescent="0.3">
      <c r="A20" s="177"/>
      <c r="B20" s="269" t="s">
        <v>119</v>
      </c>
      <c r="D20" s="179" t="s">
        <v>23</v>
      </c>
      <c r="E20" s="180" t="s">
        <v>24</v>
      </c>
      <c r="F20" s="181" t="s">
        <v>25</v>
      </c>
      <c r="G20" s="182"/>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row>
    <row r="21" spans="1:49" s="178" customFormat="1" ht="13.8" thickTop="1" x14ac:dyDescent="0.25">
      <c r="A21" s="177"/>
      <c r="B21" s="269"/>
      <c r="C21" s="270" t="s">
        <v>120</v>
      </c>
      <c r="D21" s="183">
        <f>B18-E21-F21</f>
        <v>250.00000000000003</v>
      </c>
      <c r="E21" s="183">
        <f>ROUND(E18*0.67,2)</f>
        <v>7.83</v>
      </c>
      <c r="F21" s="184">
        <f>ROUND(F18*0.47,2)</f>
        <v>10.96</v>
      </c>
      <c r="G21" s="185"/>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row>
    <row r="22" spans="1:49" s="118" customFormat="1" ht="13.2" x14ac:dyDescent="0.25">
      <c r="A22" s="177"/>
      <c r="C22" s="270"/>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row>
    <row r="23" spans="1:49" s="118" customFormat="1" ht="13.2" x14ac:dyDescent="0.25">
      <c r="A23" s="177"/>
    </row>
  </sheetData>
  <sheetProtection algorithmName="SHA-512" hashValue="YkR4jk37zCJFtNA6gKnlGOscZ/bQwOOnEhyjI2G1vFwk6ZUiA6x5dGioK4vD4mOPO5uukA93R8k+xnM0jBsnFg==" saltValue="3l6ID6GqqqTOBz6MlVPhgg==" spinCount="100000" sheet="1" objects="1" scenarios="1" selectLockedCells="1"/>
  <mergeCells count="4">
    <mergeCell ref="B5:F6"/>
    <mergeCell ref="B8:F10"/>
    <mergeCell ref="B20:B21"/>
    <mergeCell ref="C21:C2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6"/>
  <sheetViews>
    <sheetView tabSelected="1" zoomScaleNormal="100" workbookViewId="0">
      <selection activeCell="C17" sqref="C17"/>
    </sheetView>
  </sheetViews>
  <sheetFormatPr baseColWidth="10" defaultColWidth="11.44140625" defaultRowHeight="15.6" x14ac:dyDescent="0.3"/>
  <cols>
    <col min="1" max="1" width="11.109375" style="195" customWidth="1"/>
    <col min="2" max="2" width="15.33203125" style="195" customWidth="1"/>
    <col min="3" max="3" width="9.33203125" style="195" customWidth="1"/>
    <col min="4" max="4" width="11" style="195" customWidth="1"/>
    <col min="5" max="5" width="9.33203125" style="195" customWidth="1"/>
    <col min="6" max="6" width="9.6640625" style="195" customWidth="1"/>
    <col min="7" max="7" width="8.33203125" style="195" bestFit="1" customWidth="1"/>
    <col min="8" max="8" width="2.5546875" style="195" customWidth="1"/>
    <col min="9" max="9" width="19" style="196" customWidth="1"/>
    <col min="10" max="12" width="11.109375" style="196" customWidth="1"/>
    <col min="13" max="16384" width="11.44140625" style="197"/>
  </cols>
  <sheetData>
    <row r="3" spans="1:12" x14ac:dyDescent="0.3">
      <c r="I3" s="196" t="s">
        <v>0</v>
      </c>
    </row>
    <row r="4" spans="1:12" x14ac:dyDescent="0.3">
      <c r="A4" s="198" t="s">
        <v>1</v>
      </c>
      <c r="B4" s="199">
        <v>45065</v>
      </c>
    </row>
    <row r="5" spans="1:12" ht="18" x14ac:dyDescent="0.3">
      <c r="B5" s="277" t="s">
        <v>153</v>
      </c>
      <c r="C5" s="277"/>
      <c r="D5" s="277"/>
      <c r="E5" s="277"/>
      <c r="F5" s="277"/>
      <c r="G5" s="277"/>
      <c r="H5" s="277"/>
      <c r="I5" s="277"/>
      <c r="J5" s="277"/>
      <c r="K5" s="277"/>
      <c r="L5" s="277"/>
    </row>
    <row r="6" spans="1:12" x14ac:dyDescent="0.3">
      <c r="B6" s="200"/>
      <c r="C6" s="200"/>
      <c r="D6" s="200"/>
      <c r="E6" s="200"/>
      <c r="F6" s="200"/>
      <c r="G6" s="200"/>
      <c r="H6" s="200"/>
      <c r="I6" s="200"/>
      <c r="J6" s="200"/>
      <c r="K6" s="200"/>
      <c r="L6" s="200"/>
    </row>
    <row r="7" spans="1:12" x14ac:dyDescent="0.3">
      <c r="B7" s="197"/>
      <c r="C7" s="197"/>
      <c r="D7" s="197"/>
      <c r="E7" s="197"/>
      <c r="F7" s="197"/>
      <c r="G7" s="197"/>
      <c r="H7" s="197"/>
      <c r="I7" s="197"/>
      <c r="J7" s="197"/>
      <c r="K7" s="197"/>
    </row>
    <row r="8" spans="1:12" x14ac:dyDescent="0.3">
      <c r="B8" s="201" t="s">
        <v>3</v>
      </c>
      <c r="C8" s="278" t="s">
        <v>4</v>
      </c>
      <c r="D8" s="279"/>
      <c r="E8" s="279"/>
      <c r="F8" s="279"/>
      <c r="G8" s="279"/>
      <c r="H8" s="279"/>
      <c r="I8" s="279"/>
      <c r="J8" s="279"/>
      <c r="K8" s="280"/>
    </row>
    <row r="9" spans="1:12" x14ac:dyDescent="0.3">
      <c r="B9" s="201" t="s">
        <v>5</v>
      </c>
      <c r="C9" s="281" t="s">
        <v>6</v>
      </c>
      <c r="D9" s="282"/>
      <c r="E9" s="282"/>
      <c r="F9" s="282"/>
      <c r="G9" s="282"/>
      <c r="H9" s="282"/>
      <c r="I9" s="282"/>
      <c r="J9" s="282"/>
      <c r="K9" s="283"/>
    </row>
    <row r="10" spans="1:12" x14ac:dyDescent="0.3">
      <c r="I10" s="202"/>
    </row>
    <row r="11" spans="1:12" x14ac:dyDescent="0.3">
      <c r="I11" s="202"/>
    </row>
    <row r="12" spans="1:12" x14ac:dyDescent="0.3">
      <c r="B12" s="203" t="s">
        <v>137</v>
      </c>
      <c r="C12" s="203"/>
      <c r="D12" s="203"/>
      <c r="E12" s="203"/>
      <c r="F12" s="203"/>
      <c r="G12" s="203"/>
      <c r="H12" s="203"/>
      <c r="I12" s="204"/>
      <c r="J12" s="205"/>
      <c r="K12" s="205"/>
      <c r="L12" s="205"/>
    </row>
    <row r="13" spans="1:12" x14ac:dyDescent="0.3">
      <c r="I13" s="202"/>
    </row>
    <row r="14" spans="1:12" ht="27.6" thickBot="1" x14ac:dyDescent="0.35">
      <c r="B14" s="206" t="s">
        <v>138</v>
      </c>
      <c r="C14" s="206" t="s">
        <v>139</v>
      </c>
      <c r="D14" s="207" t="s">
        <v>140</v>
      </c>
      <c r="E14" s="206" t="s">
        <v>139</v>
      </c>
      <c r="F14" s="206" t="s">
        <v>141</v>
      </c>
      <c r="G14" s="206" t="s">
        <v>139</v>
      </c>
      <c r="I14" s="206" t="s">
        <v>16</v>
      </c>
      <c r="J14" s="208" t="s">
        <v>17</v>
      </c>
      <c r="K14" s="209" t="s">
        <v>18</v>
      </c>
      <c r="L14" s="208" t="s">
        <v>19</v>
      </c>
    </row>
    <row r="15" spans="1:12" ht="16.2" thickTop="1" x14ac:dyDescent="0.3">
      <c r="A15" s="210" t="s">
        <v>142</v>
      </c>
      <c r="B15" s="222">
        <v>12</v>
      </c>
      <c r="C15" s="211">
        <v>2</v>
      </c>
      <c r="D15" s="222">
        <v>12</v>
      </c>
      <c r="E15" s="211"/>
      <c r="F15" s="222">
        <v>14</v>
      </c>
      <c r="G15" s="211">
        <v>2</v>
      </c>
      <c r="I15" s="271">
        <f>B15*C15+F15*G15+B16*C16+F16*G16+B17*C17+F17*G17+D15*E15+D16*E16+D17*E17</f>
        <v>206</v>
      </c>
      <c r="J15" s="273">
        <f>ROUND(I15-K15-L15,2)</f>
        <v>189.07</v>
      </c>
      <c r="K15" s="273">
        <f>ROUND((((B15*C15+B16*C16+B17*C17)/1.095)/1.05)*0.05+(D15*E15+D16*E16+D17*E17)/1.05*0.05,2)</f>
        <v>5.65</v>
      </c>
      <c r="L15" s="285">
        <f>ROUND((((B15*C15+B16*C16+B17*C17)/1.095)/1.05)*0.09975,2)</f>
        <v>11.28</v>
      </c>
    </row>
    <row r="16" spans="1:12" x14ac:dyDescent="0.3">
      <c r="A16" s="210" t="s">
        <v>143</v>
      </c>
      <c r="B16" s="222">
        <v>20</v>
      </c>
      <c r="C16" s="211">
        <v>2</v>
      </c>
      <c r="D16" s="222">
        <v>20</v>
      </c>
      <c r="E16" s="211"/>
      <c r="F16" s="222">
        <v>24</v>
      </c>
      <c r="G16" s="211">
        <v>2</v>
      </c>
      <c r="I16" s="284"/>
      <c r="J16" s="285"/>
      <c r="K16" s="285"/>
      <c r="L16" s="285"/>
    </row>
    <row r="17" spans="1:12" x14ac:dyDescent="0.3">
      <c r="A17" s="210" t="s">
        <v>144</v>
      </c>
      <c r="B17" s="222">
        <v>33</v>
      </c>
      <c r="C17" s="211">
        <v>2</v>
      </c>
      <c r="D17" s="222">
        <v>33</v>
      </c>
      <c r="E17" s="211"/>
      <c r="F17" s="222">
        <v>42</v>
      </c>
      <c r="G17" s="211"/>
      <c r="I17" s="272"/>
      <c r="J17" s="274"/>
      <c r="K17" s="274"/>
      <c r="L17" s="274"/>
    </row>
    <row r="18" spans="1:12" x14ac:dyDescent="0.3">
      <c r="F18" s="223"/>
    </row>
    <row r="22" spans="1:12" x14ac:dyDescent="0.3">
      <c r="B22" s="212" t="s">
        <v>145</v>
      </c>
      <c r="C22" s="203"/>
      <c r="D22" s="203"/>
      <c r="E22" s="203"/>
      <c r="F22" s="203"/>
      <c r="G22" s="203"/>
      <c r="H22" s="203"/>
      <c r="I22" s="204"/>
      <c r="J22" s="205"/>
      <c r="K22" s="205"/>
      <c r="L22" s="205"/>
    </row>
    <row r="24" spans="1:12" ht="27.6" thickBot="1" x14ac:dyDescent="0.35">
      <c r="B24" s="206" t="s">
        <v>146</v>
      </c>
      <c r="C24" s="206" t="s">
        <v>147</v>
      </c>
      <c r="D24" s="213"/>
      <c r="E24" s="213"/>
      <c r="F24" s="213"/>
      <c r="G24" s="213"/>
      <c r="I24" s="206" t="s">
        <v>16</v>
      </c>
      <c r="J24" s="208" t="s">
        <v>17</v>
      </c>
      <c r="K24" s="209" t="s">
        <v>18</v>
      </c>
      <c r="L24" s="208" t="s">
        <v>19</v>
      </c>
    </row>
    <row r="25" spans="1:12" ht="16.2" thickTop="1" x14ac:dyDescent="0.3">
      <c r="A25" s="214"/>
      <c r="B25" s="222">
        <v>43.75</v>
      </c>
      <c r="C25" s="211"/>
      <c r="D25" s="215"/>
      <c r="E25" s="215"/>
      <c r="F25" s="216"/>
      <c r="G25" s="215"/>
      <c r="I25" s="217">
        <f>B25*C25</f>
        <v>0</v>
      </c>
      <c r="J25" s="218">
        <f>ROUND(I25-K25-L25,2)</f>
        <v>0</v>
      </c>
      <c r="K25" s="218">
        <f>ROUND((((B25*C25)/1.095)/1.05)*0.05,2)</f>
        <v>0</v>
      </c>
      <c r="L25" s="218">
        <f>ROUND((((B25*C25)/1.095)/1.05)*0.09975,2)</f>
        <v>0</v>
      </c>
    </row>
    <row r="30" spans="1:12" x14ac:dyDescent="0.3">
      <c r="B30" s="203" t="s">
        <v>148</v>
      </c>
      <c r="C30" s="203"/>
      <c r="D30" s="203"/>
      <c r="E30" s="203"/>
      <c r="F30" s="203"/>
      <c r="G30" s="203"/>
      <c r="H30" s="203"/>
      <c r="I30" s="204"/>
      <c r="J30" s="205"/>
      <c r="K30" s="205"/>
      <c r="L30" s="205"/>
    </row>
    <row r="32" spans="1:12" ht="25.2" thickBot="1" x14ac:dyDescent="0.35">
      <c r="A32" s="219"/>
      <c r="C32" s="207" t="s">
        <v>149</v>
      </c>
      <c r="D32" s="207" t="s">
        <v>150</v>
      </c>
      <c r="I32" s="206" t="s">
        <v>16</v>
      </c>
      <c r="J32" s="208" t="s">
        <v>17</v>
      </c>
      <c r="K32" s="209" t="s">
        <v>18</v>
      </c>
      <c r="L32" s="208" t="s">
        <v>19</v>
      </c>
    </row>
    <row r="33" spans="1:12" ht="16.2" thickTop="1" x14ac:dyDescent="0.3">
      <c r="A33" s="197"/>
      <c r="B33" s="220" t="s">
        <v>151</v>
      </c>
      <c r="C33" s="221"/>
      <c r="D33" s="221"/>
      <c r="I33" s="271">
        <f>+C33*C34+D33*D34</f>
        <v>0</v>
      </c>
      <c r="J33" s="273">
        <f>+I33-L33-K33</f>
        <v>0</v>
      </c>
      <c r="K33" s="275">
        <f>ROUND(((I33/1.095)/1.05)*0.05,2)</f>
        <v>0</v>
      </c>
      <c r="L33" s="275">
        <f>ROUND(((I33/1.095)/1.05)*0.09975,2)</f>
        <v>0</v>
      </c>
    </row>
    <row r="34" spans="1:12" x14ac:dyDescent="0.3">
      <c r="A34" s="219"/>
      <c r="B34" s="220" t="s">
        <v>152</v>
      </c>
      <c r="C34" s="224">
        <v>0.56999999999999995</v>
      </c>
      <c r="D34" s="224">
        <v>0.7</v>
      </c>
      <c r="E34" s="223"/>
      <c r="I34" s="272"/>
      <c r="J34" s="274"/>
      <c r="K34" s="276"/>
      <c r="L34" s="276"/>
    </row>
    <row r="35" spans="1:12" x14ac:dyDescent="0.3">
      <c r="B35" s="197"/>
      <c r="C35" s="197"/>
      <c r="D35" s="197"/>
      <c r="E35" s="197"/>
    </row>
    <row r="36" spans="1:12" x14ac:dyDescent="0.3">
      <c r="B36" s="197"/>
      <c r="C36" s="197"/>
      <c r="D36" s="197"/>
      <c r="E36" s="197"/>
    </row>
  </sheetData>
  <sheetProtection algorithmName="SHA-512" hashValue="Q0l6ALohq/40qnkCjSQSFvfxApliktGDzvvUxjnp1s+Q+fg8bMcIV+Ea9mRmWxWcCRgWmcZWp5006jTtOShPZg==" saltValue="heLpTmyG2uxNJCUI9TwN/Q==" spinCount="100000" sheet="1" objects="1" scenarios="1" selectLockedCells="1"/>
  <mergeCells count="11">
    <mergeCell ref="I33:I34"/>
    <mergeCell ref="J33:J34"/>
    <mergeCell ref="K33:K34"/>
    <mergeCell ref="L33:L34"/>
    <mergeCell ref="B5:L5"/>
    <mergeCell ref="C8:K8"/>
    <mergeCell ref="C9:K9"/>
    <mergeCell ref="I15:I17"/>
    <mergeCell ref="J15:J17"/>
    <mergeCell ref="K15:K17"/>
    <mergeCell ref="L15:L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TVQ 9,975% TPS 5%</vt:lpstr>
      <vt:lpstr>TVH depuis 2016</vt:lpstr>
      <vt:lpstr>Billets d'avion</vt:lpstr>
      <vt:lpstr>Calculateur inversé</vt:lpstr>
      <vt:lpstr>Indemnité de kilométrage</vt:lpstr>
      <vt:lpstr>Vider projet à zéro</vt:lpstr>
      <vt:lpstr>Per diem</vt:lpstr>
    </vt:vector>
  </TitlesOfParts>
  <Company>Université de Montréal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caronj</dc:creator>
  <cp:lastModifiedBy>Onimboahangy Rajaobelina</cp:lastModifiedBy>
  <dcterms:created xsi:type="dcterms:W3CDTF">2019-09-23T19:42:24Z</dcterms:created>
  <dcterms:modified xsi:type="dcterms:W3CDTF">2023-06-01T13:00:28Z</dcterms:modified>
</cp:coreProperties>
</file>